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ARQ" sheetId="1" r:id="rId1"/>
    <sheet name="OUTROS" sheetId="5" r:id="rId2"/>
    <sheet name="AF" sheetId="2" r:id="rId3"/>
    <sheet name="ESG" sheetId="3" r:id="rId4"/>
    <sheet name="ELET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7" i="1" l="1"/>
  <c r="K16" i="3" l="1"/>
  <c r="K22" i="3"/>
  <c r="K21" i="3"/>
  <c r="I16" i="3"/>
  <c r="J61" i="1"/>
  <c r="J60" i="1"/>
  <c r="H58" i="1" l="1"/>
  <c r="C8" i="3" l="1"/>
  <c r="M147" i="1" l="1"/>
  <c r="M55" i="1" l="1"/>
  <c r="M143" i="1" l="1"/>
  <c r="G17" i="1"/>
  <c r="G12" i="1"/>
  <c r="I11" i="1"/>
  <c r="J11" i="1" s="1"/>
  <c r="G4" i="1"/>
  <c r="G7" i="1"/>
  <c r="I3" i="1"/>
  <c r="J3" i="1" s="1"/>
  <c r="I31" i="1"/>
  <c r="J31" i="1" s="1"/>
  <c r="J30" i="1" s="1"/>
  <c r="I32" i="1"/>
  <c r="J32" i="1" s="1"/>
  <c r="I30" i="1" l="1"/>
  <c r="G10" i="5"/>
  <c r="G9" i="5"/>
  <c r="G8" i="5"/>
  <c r="G7" i="5"/>
  <c r="G6" i="5"/>
  <c r="G4" i="5"/>
  <c r="G3" i="5"/>
  <c r="G2" i="5" l="1"/>
  <c r="G5" i="5"/>
  <c r="AM3" i="4" l="1"/>
  <c r="AM7" i="4"/>
  <c r="AM9" i="4"/>
  <c r="AM11" i="4"/>
  <c r="AP3" i="4"/>
  <c r="AP13" i="4" s="1"/>
  <c r="F12" i="4" l="1"/>
  <c r="E12" i="4"/>
  <c r="E13" i="4"/>
  <c r="F13" i="4"/>
  <c r="G14" i="4"/>
  <c r="E14" i="4"/>
  <c r="AQ11" i="4" l="1"/>
  <c r="AR11" i="4" s="1"/>
  <c r="AQ9" i="4"/>
  <c r="AR9" i="4" s="1"/>
  <c r="AQ7" i="4"/>
  <c r="AR7" i="4" s="1"/>
  <c r="F6" i="4"/>
  <c r="E6" i="4"/>
  <c r="H14" i="4"/>
  <c r="H27" i="4"/>
  <c r="K27" i="4" s="1"/>
  <c r="L27" i="4" s="1"/>
  <c r="H26" i="4"/>
  <c r="H25" i="4"/>
  <c r="K25" i="4" s="1"/>
  <c r="L25" i="4" s="1"/>
  <c r="H23" i="4"/>
  <c r="H21" i="4"/>
  <c r="H20" i="4"/>
  <c r="H19" i="4"/>
  <c r="H17" i="4"/>
  <c r="H16" i="4"/>
  <c r="H18" i="4"/>
  <c r="H12" i="4"/>
  <c r="E9" i="4"/>
  <c r="F9" i="4"/>
  <c r="AN3" i="4" l="1"/>
  <c r="AQ13" i="4" s="1"/>
  <c r="H6" i="4"/>
  <c r="H13" i="4"/>
  <c r="AQ3" i="4"/>
  <c r="AR3" i="4" s="1"/>
  <c r="H9" i="4"/>
  <c r="F3" i="4"/>
  <c r="E3" i="4"/>
  <c r="H3" i="4" s="1"/>
  <c r="K26" i="4"/>
  <c r="L26" i="4" s="1"/>
  <c r="AR13" i="4" l="1"/>
  <c r="K18" i="4"/>
  <c r="L18" i="4" s="1"/>
  <c r="K19" i="4" l="1"/>
  <c r="L19" i="4" s="1"/>
  <c r="K20" i="4"/>
  <c r="L20" i="4" s="1"/>
  <c r="K21" i="4"/>
  <c r="L21" i="4" s="1"/>
  <c r="K17" i="4"/>
  <c r="L17" i="4" s="1"/>
  <c r="K16" i="4"/>
  <c r="L16" i="4" s="1"/>
  <c r="K23" i="4"/>
  <c r="L23" i="4" s="1"/>
  <c r="K14" i="4"/>
  <c r="L14" i="4" s="1"/>
  <c r="K13" i="4"/>
  <c r="L13" i="4" s="1"/>
  <c r="K12" i="4"/>
  <c r="L12" i="4" s="1"/>
  <c r="G15" i="2"/>
  <c r="J15" i="2" s="1"/>
  <c r="K15" i="2" s="1"/>
  <c r="E19" i="2"/>
  <c r="F19" i="2"/>
  <c r="H5" i="3" l="1"/>
  <c r="F5" i="3"/>
  <c r="E5" i="3"/>
  <c r="G4" i="3"/>
  <c r="F4" i="3"/>
  <c r="E4" i="3"/>
  <c r="F3" i="3"/>
  <c r="E3" i="3"/>
  <c r="G13" i="3"/>
  <c r="G22" i="3"/>
  <c r="G46" i="3"/>
  <c r="G17" i="3" s="1"/>
  <c r="H47" i="3"/>
  <c r="H18" i="3" s="1"/>
  <c r="F47" i="3"/>
  <c r="F18" i="3" s="1"/>
  <c r="E47" i="3"/>
  <c r="E18" i="3" s="1"/>
  <c r="F45" i="3"/>
  <c r="F21" i="3" s="1"/>
  <c r="E45" i="3"/>
  <c r="E16" i="3" s="1"/>
  <c r="H32" i="3"/>
  <c r="G32" i="3"/>
  <c r="F32" i="3"/>
  <c r="E32" i="3"/>
  <c r="H31" i="3"/>
  <c r="G31" i="3"/>
  <c r="F31" i="3"/>
  <c r="E31" i="3"/>
  <c r="F3" i="2"/>
  <c r="F6" i="2"/>
  <c r="E6" i="2"/>
  <c r="F16" i="3" l="1"/>
  <c r="E3" i="2"/>
  <c r="E21" i="3"/>
  <c r="I21" i="3" s="1"/>
  <c r="E50" i="3"/>
  <c r="I13" i="3"/>
  <c r="I25" i="3"/>
  <c r="L25" i="3" s="1"/>
  <c r="F46" i="3"/>
  <c r="F17" i="3" s="1"/>
  <c r="E46" i="3"/>
  <c r="E17" i="3" s="1"/>
  <c r="I29" i="3"/>
  <c r="L29" i="3" s="1"/>
  <c r="M29" i="3" s="1"/>
  <c r="I28" i="3"/>
  <c r="L28" i="3" s="1"/>
  <c r="M28" i="3" s="1"/>
  <c r="I43" i="3"/>
  <c r="L43" i="3" s="1"/>
  <c r="M43" i="3" s="1"/>
  <c r="I42" i="3"/>
  <c r="L42" i="3" s="1"/>
  <c r="M42" i="3" s="1"/>
  <c r="I41" i="3"/>
  <c r="L41" i="3" s="1"/>
  <c r="M41" i="3" s="1"/>
  <c r="I40" i="3"/>
  <c r="L40" i="3" s="1"/>
  <c r="M40" i="3" s="1"/>
  <c r="I39" i="3"/>
  <c r="L39" i="3" s="1"/>
  <c r="M39" i="3" s="1"/>
  <c r="I38" i="3"/>
  <c r="L38" i="3" s="1"/>
  <c r="M38" i="3" s="1"/>
  <c r="I37" i="3"/>
  <c r="L37" i="3" s="1"/>
  <c r="M37" i="3" s="1"/>
  <c r="I36" i="3"/>
  <c r="L36" i="3" s="1"/>
  <c r="M36" i="3" s="1"/>
  <c r="I35" i="3"/>
  <c r="L35" i="3" s="1"/>
  <c r="M35" i="3" s="1"/>
  <c r="I34" i="3"/>
  <c r="L34" i="3" s="1"/>
  <c r="M34" i="3" s="1"/>
  <c r="I33" i="3"/>
  <c r="L33" i="3" s="1"/>
  <c r="M33" i="3" s="1"/>
  <c r="I30" i="3"/>
  <c r="L30" i="3" s="1"/>
  <c r="M30" i="3" s="1"/>
  <c r="G17" i="2"/>
  <c r="J17" i="2" s="1"/>
  <c r="K17" i="2" s="1"/>
  <c r="G14" i="2"/>
  <c r="J14" i="2" s="1"/>
  <c r="K14" i="2" s="1"/>
  <c r="G13" i="2"/>
  <c r="J13" i="2" s="1"/>
  <c r="K13" i="2" s="1"/>
  <c r="G12" i="2"/>
  <c r="J12" i="2" s="1"/>
  <c r="K12" i="2" s="1"/>
  <c r="G11" i="2"/>
  <c r="J11" i="2" s="1"/>
  <c r="K11" i="2" s="1"/>
  <c r="G10" i="2"/>
  <c r="J10" i="2" s="1"/>
  <c r="K10" i="2" s="1"/>
  <c r="G9" i="2"/>
  <c r="J9" i="2" s="1"/>
  <c r="K9" i="2" s="1"/>
  <c r="C10" i="3" l="1"/>
  <c r="I17" i="3"/>
  <c r="M25" i="3"/>
  <c r="I22" i="3"/>
  <c r="I18" i="3"/>
  <c r="I46" i="3"/>
  <c r="L46" i="3" s="1"/>
  <c r="M46" i="3" s="1"/>
  <c r="I47" i="3"/>
  <c r="L47" i="3" s="1"/>
  <c r="M47" i="3" s="1"/>
  <c r="I45" i="3"/>
  <c r="L45" i="3" s="1"/>
  <c r="M45" i="3" s="1"/>
  <c r="I31" i="3"/>
  <c r="L31" i="3" s="1"/>
  <c r="M31" i="3" s="1"/>
  <c r="I32" i="3"/>
  <c r="L32" i="3" s="1"/>
  <c r="M32" i="3" s="1"/>
  <c r="G19" i="2"/>
  <c r="J19" i="2" s="1"/>
  <c r="K19" i="2" s="1"/>
  <c r="G6" i="2"/>
  <c r="C9" i="3" l="1"/>
  <c r="G3" i="2"/>
  <c r="N30" i="1" l="1"/>
  <c r="M17" i="1"/>
  <c r="J23" i="1"/>
  <c r="M64" i="1"/>
  <c r="M96" i="1"/>
  <c r="M110" i="1"/>
  <c r="G156" i="1"/>
  <c r="I157" i="1"/>
  <c r="M71" i="1" l="1"/>
  <c r="G206" i="1" l="1"/>
  <c r="N206" i="1" s="1"/>
  <c r="O206" i="1" s="1"/>
  <c r="G203" i="1"/>
  <c r="N203" i="1" s="1"/>
  <c r="O203" i="1" s="1"/>
  <c r="G200" i="1"/>
  <c r="N200" i="1" s="1"/>
  <c r="O200" i="1" s="1"/>
  <c r="G197" i="1"/>
  <c r="N197" i="1" s="1"/>
  <c r="O197" i="1" s="1"/>
  <c r="G194" i="1"/>
  <c r="N194" i="1" s="1"/>
  <c r="O194" i="1" s="1"/>
  <c r="G191" i="1"/>
  <c r="N191" i="1" s="1"/>
  <c r="O191" i="1" s="1"/>
  <c r="G188" i="1"/>
  <c r="N188" i="1" s="1"/>
  <c r="O188" i="1" s="1"/>
  <c r="G185" i="1"/>
  <c r="N185" i="1" s="1"/>
  <c r="O185" i="1" s="1"/>
  <c r="G182" i="1"/>
  <c r="N182" i="1" s="1"/>
  <c r="O182" i="1" s="1"/>
  <c r="G179" i="1"/>
  <c r="N179" i="1" s="1"/>
  <c r="O179" i="1" s="1"/>
  <c r="G176" i="1"/>
  <c r="N176" i="1" s="1"/>
  <c r="O176" i="1" s="1"/>
  <c r="G173" i="1"/>
  <c r="N173" i="1" s="1"/>
  <c r="O173" i="1" s="1"/>
  <c r="G170" i="1"/>
  <c r="N170" i="1" s="1"/>
  <c r="O170" i="1" s="1"/>
  <c r="G167" i="1"/>
  <c r="N167" i="1" s="1"/>
  <c r="O167" i="1" s="1"/>
  <c r="G164" i="1"/>
  <c r="N164" i="1" s="1"/>
  <c r="O164" i="1" s="1"/>
  <c r="G161" i="1"/>
  <c r="N161" i="1" s="1"/>
  <c r="O161" i="1" s="1"/>
  <c r="I158" i="1"/>
  <c r="I156" i="1" s="1"/>
  <c r="N156" i="1"/>
  <c r="O156" i="1" s="1"/>
  <c r="M141" i="1"/>
  <c r="N153" i="1"/>
  <c r="O153" i="1" s="1"/>
  <c r="N152" i="1"/>
  <c r="O152" i="1" s="1"/>
  <c r="I153" i="1"/>
  <c r="I152" i="1"/>
  <c r="H149" i="1"/>
  <c r="I149" i="1" s="1"/>
  <c r="H148" i="1"/>
  <c r="I138" i="1"/>
  <c r="D130" i="1"/>
  <c r="I130" i="1" s="1"/>
  <c r="I125" i="1"/>
  <c r="I128" i="1"/>
  <c r="I127" i="1"/>
  <c r="I126" i="1"/>
  <c r="I124" i="1"/>
  <c r="I123" i="1"/>
  <c r="I120" i="1"/>
  <c r="I137" i="1"/>
  <c r="I119" i="1"/>
  <c r="I121" i="1"/>
  <c r="I118" i="1"/>
  <c r="I117" i="1"/>
  <c r="I133" i="1"/>
  <c r="I112" i="1"/>
  <c r="I111" i="1"/>
  <c r="H99" i="1"/>
  <c r="I99" i="1" s="1"/>
  <c r="I102" i="1"/>
  <c r="H101" i="1"/>
  <c r="I101" i="1" s="1"/>
  <c r="I106" i="1"/>
  <c r="I93" i="1"/>
  <c r="H92" i="1"/>
  <c r="I92" i="1" s="1"/>
  <c r="I91" i="1"/>
  <c r="I90" i="1"/>
  <c r="I89" i="1"/>
  <c r="I87" i="1"/>
  <c r="I86" i="1"/>
  <c r="H84" i="1"/>
  <c r="I84" i="1" s="1"/>
  <c r="I83" i="1"/>
  <c r="I82" i="1"/>
  <c r="I76" i="1"/>
  <c r="I75" i="1"/>
  <c r="I74" i="1"/>
  <c r="I73" i="1"/>
  <c r="I72" i="1"/>
  <c r="I100" i="1"/>
  <c r="I107" i="1"/>
  <c r="I81" i="1"/>
  <c r="I88" i="1"/>
  <c r="I80" i="1"/>
  <c r="I79" i="1"/>
  <c r="C68" i="1"/>
  <c r="H68" i="1" s="1"/>
  <c r="I66" i="1"/>
  <c r="I65" i="1"/>
  <c r="I148" i="1" l="1"/>
  <c r="H147" i="1"/>
  <c r="I147" i="1"/>
  <c r="N147" i="1" s="1"/>
  <c r="O147" i="1" s="1"/>
  <c r="I136" i="1"/>
  <c r="I144" i="1" s="1"/>
  <c r="I143" i="1" s="1"/>
  <c r="N143" i="1" s="1"/>
  <c r="O143" i="1" s="1"/>
  <c r="I115" i="1"/>
  <c r="I142" i="1" s="1"/>
  <c r="I141" i="1" s="1"/>
  <c r="N141" i="1" s="1"/>
  <c r="O141" i="1" s="1"/>
  <c r="I129" i="1"/>
  <c r="N129" i="1" s="1"/>
  <c r="O129" i="1" s="1"/>
  <c r="I110" i="1"/>
  <c r="N110" i="1" s="1"/>
  <c r="O110" i="1" s="1"/>
  <c r="N136" i="1"/>
  <c r="O136" i="1" s="1"/>
  <c r="I105" i="1"/>
  <c r="I97" i="1" s="1"/>
  <c r="I96" i="1" s="1"/>
  <c r="N96" i="1" s="1"/>
  <c r="O96" i="1" s="1"/>
  <c r="I77" i="1"/>
  <c r="N77" i="1" s="1"/>
  <c r="O77" i="1" s="1"/>
  <c r="I71" i="1"/>
  <c r="N71" i="1" s="1"/>
  <c r="O71" i="1" s="1"/>
  <c r="I64" i="1"/>
  <c r="H67" i="1"/>
  <c r="N67" i="1" s="1"/>
  <c r="O67" i="1" s="1"/>
  <c r="I68" i="1"/>
  <c r="H59" i="1"/>
  <c r="H56" i="1"/>
  <c r="I56" i="1" s="1"/>
  <c r="J56" i="1" s="1"/>
  <c r="J55" i="1" s="1"/>
  <c r="C54" i="1"/>
  <c r="I54" i="1" s="1"/>
  <c r="D50" i="1"/>
  <c r="I50" i="1" s="1"/>
  <c r="J50" i="1" s="1"/>
  <c r="D51" i="1"/>
  <c r="I51" i="1" s="1"/>
  <c r="E51" i="1"/>
  <c r="I45" i="1"/>
  <c r="J45" i="1" s="1"/>
  <c r="E44" i="1"/>
  <c r="I48" i="1"/>
  <c r="J48" i="1" s="1"/>
  <c r="I47" i="1"/>
  <c r="J47" i="1" s="1"/>
  <c r="I46" i="1"/>
  <c r="J46" i="1" s="1"/>
  <c r="I44" i="1"/>
  <c r="I41" i="1"/>
  <c r="J41" i="1" s="1"/>
  <c r="I40" i="1"/>
  <c r="J40" i="1" s="1"/>
  <c r="I39" i="1"/>
  <c r="J39" i="1" s="1"/>
  <c r="I38" i="1"/>
  <c r="J38" i="1" s="1"/>
  <c r="I37" i="1"/>
  <c r="J37" i="1" s="1"/>
  <c r="C29" i="1"/>
  <c r="I29" i="1" s="1"/>
  <c r="J29" i="1" s="1"/>
  <c r="M25" i="1"/>
  <c r="I28" i="1"/>
  <c r="J28" i="1" s="1"/>
  <c r="I27" i="1"/>
  <c r="J27" i="1" s="1"/>
  <c r="J22" i="1"/>
  <c r="J21" i="1"/>
  <c r="J20" i="1"/>
  <c r="J19" i="1"/>
  <c r="J18" i="1"/>
  <c r="M15" i="1"/>
  <c r="M12" i="1"/>
  <c r="N11" i="1"/>
  <c r="O11" i="1" s="1"/>
  <c r="E36" i="1"/>
  <c r="I36" i="1"/>
  <c r="I26" i="1"/>
  <c r="J26" i="1" s="1"/>
  <c r="J24" i="1"/>
  <c r="J16" i="1"/>
  <c r="J15" i="1" s="1"/>
  <c r="G15" i="1"/>
  <c r="J14" i="1"/>
  <c r="J13" i="1"/>
  <c r="I10" i="1"/>
  <c r="J10" i="1" s="1"/>
  <c r="I9" i="1"/>
  <c r="J9" i="1" s="1"/>
  <c r="I8" i="1"/>
  <c r="J8" i="1" s="1"/>
  <c r="N7" i="1"/>
  <c r="O7" i="1" s="1"/>
  <c r="I6" i="1"/>
  <c r="J6" i="1" s="1"/>
  <c r="I5" i="1"/>
  <c r="J5" i="1" s="1"/>
  <c r="N4" i="1"/>
  <c r="O4" i="1" s="1"/>
  <c r="J4" i="1" l="1"/>
  <c r="J7" i="1"/>
  <c r="I33" i="1"/>
  <c r="J25" i="1"/>
  <c r="J17" i="1"/>
  <c r="I58" i="1"/>
  <c r="N115" i="1"/>
  <c r="O115" i="1" s="1"/>
  <c r="N64" i="1"/>
  <c r="O64" i="1" s="1"/>
  <c r="N105" i="1"/>
  <c r="O105" i="1" s="1"/>
  <c r="I59" i="1"/>
  <c r="J59" i="1" s="1"/>
  <c r="I53" i="1"/>
  <c r="N53" i="1" s="1"/>
  <c r="O53" i="1" s="1"/>
  <c r="J54" i="1"/>
  <c r="J53" i="1" s="1"/>
  <c r="N33" i="1"/>
  <c r="O33" i="1" s="1"/>
  <c r="J44" i="1"/>
  <c r="N3" i="1"/>
  <c r="O3" i="1" s="1"/>
  <c r="I55" i="1"/>
  <c r="O55" i="1" s="1"/>
  <c r="J51" i="1"/>
  <c r="N12" i="1"/>
  <c r="O12" i="1" s="1"/>
  <c r="N25" i="1"/>
  <c r="O25" i="1" s="1"/>
  <c r="N15" i="1"/>
  <c r="O15" i="1" s="1"/>
  <c r="N17" i="1"/>
  <c r="O17" i="1" s="1"/>
  <c r="J12" i="1"/>
  <c r="H55" i="1"/>
  <c r="N55" i="1" s="1"/>
  <c r="J36" i="1"/>
  <c r="J58" i="1" l="1"/>
  <c r="J57" i="1" s="1"/>
  <c r="I57" i="1"/>
  <c r="J33" i="1"/>
  <c r="N57" i="1"/>
  <c r="O57" i="1" s="1"/>
  <c r="O30" i="1" l="1"/>
</calcChain>
</file>

<file path=xl/sharedStrings.xml><?xml version="1.0" encoding="utf-8"?>
<sst xmlns="http://schemas.openxmlformats.org/spreadsheetml/2006/main" count="879" uniqueCount="272">
  <si>
    <t>REMOÇÕES E DEMOLIÇÕES</t>
  </si>
  <si>
    <t>Unid.</t>
  </si>
  <si>
    <t>C (m)</t>
  </si>
  <si>
    <t>L (m)</t>
  </si>
  <si>
    <t>e (m)</t>
  </si>
  <si>
    <t>h (m)</t>
  </si>
  <si>
    <t>P (m)</t>
  </si>
  <si>
    <t>A (m²)</t>
  </si>
  <si>
    <t>V (m³)</t>
  </si>
  <si>
    <t>Considerações</t>
  </si>
  <si>
    <t>m²</t>
  </si>
  <si>
    <t>REMOÇÃO DE TOMADAS E/OU INTERRUPTORES</t>
  </si>
  <si>
    <t>Tomadas</t>
  </si>
  <si>
    <t>Interruptores</t>
  </si>
  <si>
    <t>REMOÇÃO DE LUMINÁRIAS</t>
  </si>
  <si>
    <t>Embutir</t>
  </si>
  <si>
    <t>Plafonier</t>
  </si>
  <si>
    <t>Tubular</t>
  </si>
  <si>
    <t>E</t>
  </si>
  <si>
    <t>W</t>
  </si>
  <si>
    <t>REMOÇÃO DE LOUÇAS SANITÁRIAS</t>
  </si>
  <si>
    <t>Lavatórios</t>
  </si>
  <si>
    <t>entrada</t>
  </si>
  <si>
    <t>Bacia sanitária</t>
  </si>
  <si>
    <t>REMOÇÃO DE METAIS SANITÁRIOS</t>
  </si>
  <si>
    <t>Torneiras</t>
  </si>
  <si>
    <t>REMOÇÃO DE ACESSÓRIOS</t>
  </si>
  <si>
    <t>DEMOLIÇÃO DE ALVENARIA DE BLOCO CERÂMICO</t>
  </si>
  <si>
    <t>Entrada</t>
  </si>
  <si>
    <t>S</t>
  </si>
  <si>
    <t>DEMOLIÇÃO DE REVESTIMENTO CERÂMICO - PISO E PAREDES</t>
  </si>
  <si>
    <t>Considerado que martelete removerá também argamassa de assentamento. 
Não consideradas quantidades das paredes que serão completamente demolidas.</t>
  </si>
  <si>
    <t>N</t>
  </si>
  <si>
    <t>Pisos</t>
  </si>
  <si>
    <t>DEMOLIÇÃO DE ARGAMASSAS (ATÉ 5CM) - CONTRAPISO</t>
  </si>
  <si>
    <t>DEMOLIÇÃO DE SOLEIRAS</t>
  </si>
  <si>
    <t>m</t>
  </si>
  <si>
    <t>CARGA MANUAL DE ENTULHO</t>
  </si>
  <si>
    <t>TRANSPORTE COM CAMINHÃO BASCULANTE DE 6M³</t>
  </si>
  <si>
    <t>REMOÇÃO DE FORRO</t>
  </si>
  <si>
    <t>m2</t>
  </si>
  <si>
    <t>Tabelado</t>
  </si>
  <si>
    <t>Variação</t>
  </si>
  <si>
    <t>Folga de 2cm das fixações.</t>
  </si>
  <si>
    <t>REMOÇÃO DE PORTAS - P70x210</t>
  </si>
  <si>
    <t>Registros</t>
  </si>
  <si>
    <t>Ralos</t>
  </si>
  <si>
    <t>Porta papel higiênico</t>
  </si>
  <si>
    <t>Valvula de descarga</t>
  </si>
  <si>
    <t xml:space="preserve"> </t>
  </si>
  <si>
    <t>Porta papel toalha</t>
  </si>
  <si>
    <t>m3</t>
  </si>
  <si>
    <t>Divisão masc. / fem.</t>
  </si>
  <si>
    <t>Entrada IS masc.</t>
  </si>
  <si>
    <t>Entrada IS masc./IS fem.</t>
  </si>
  <si>
    <t>Verga das portas (únicas)</t>
  </si>
  <si>
    <t>PAREDES</t>
  </si>
  <si>
    <t>IS MASC.</t>
  </si>
  <si>
    <t>parede totalmente demolida</t>
  </si>
  <si>
    <t>Alvenaria demolida</t>
  </si>
  <si>
    <t>P3 - 70x210</t>
  </si>
  <si>
    <t>IS FEM.</t>
  </si>
  <si>
    <t>Janela</t>
  </si>
  <si>
    <t xml:space="preserve">ENTRE ISs </t>
  </si>
  <si>
    <t>PISOS</t>
  </si>
  <si>
    <t>Considerado que martelete removerá também piso em laminado melamínico (paviflex).</t>
  </si>
  <si>
    <t>m3/km</t>
  </si>
  <si>
    <t>Entradas</t>
  </si>
  <si>
    <t>DEMOLIÇÃO DE RODAPÉS</t>
  </si>
  <si>
    <t>ALVENARIAS</t>
  </si>
  <si>
    <t>IMPERMEABILIZAÇÃO</t>
  </si>
  <si>
    <t>H1</t>
  </si>
  <si>
    <t>ALVENARIA DE 15CM/17CM</t>
  </si>
  <si>
    <t>V1</t>
  </si>
  <si>
    <t>IS fem. + IS masc.</t>
  </si>
  <si>
    <t xml:space="preserve">Divisão dos ISs </t>
  </si>
  <si>
    <t xml:space="preserve">Entrada dos ISs </t>
  </si>
  <si>
    <t>P01+P02 (Verga Única)</t>
  </si>
  <si>
    <t>VERGA PARA PORTAS (&gt; 1,5M)</t>
  </si>
  <si>
    <t>APLICAÇÃO DE CHAPISCO</t>
  </si>
  <si>
    <t>Feminino</t>
  </si>
  <si>
    <t>Masculino</t>
  </si>
  <si>
    <t>APLICAÇÃO MASSA ÚNICA</t>
  </si>
  <si>
    <t>Paredes novas: TODAS.
Paredes com cerâmica: TODAS 
Demais paredes: onde era cerâmica e será aplicada pintura</t>
  </si>
  <si>
    <t>Requadro P2</t>
  </si>
  <si>
    <t>IMPERMEABILIZAÇÃO ARGAMASSA POLIMÉRICA</t>
  </si>
  <si>
    <t>Somente paredes novas.</t>
  </si>
  <si>
    <t>Alvenaria</t>
  </si>
  <si>
    <t>Verga</t>
  </si>
  <si>
    <t>P1 (80x210)</t>
  </si>
  <si>
    <t>IS Masc.</t>
  </si>
  <si>
    <t>Requadro P1</t>
  </si>
  <si>
    <t>IS Fem</t>
  </si>
  <si>
    <t>P2 (90x210)</t>
  </si>
  <si>
    <t>REVESTIMENTOS ARGAMASSADOS - PAREDE</t>
  </si>
  <si>
    <t>REVESTIMENTOS ARGAMASSADOS - PISO</t>
  </si>
  <si>
    <t>CONTRAPISO - ÁREA MOLHADA E=3CM</t>
  </si>
  <si>
    <t>FORRO</t>
  </si>
  <si>
    <t>h(m)</t>
  </si>
  <si>
    <t>FORRO MODULADO REMOVÍVEL EM FIBRAMINERAL</t>
  </si>
  <si>
    <t>REVESTIMENTO DECORATIVO - PAREDE</t>
  </si>
  <si>
    <t>[PAREDE 1] REVESTIMENTO CERÂMICO BRANCO MATE RETIFICADO 30X60CM (PORTOBELLO CETIM BIANCO)</t>
  </si>
  <si>
    <t xml:space="preserve">[PAREDE 2] MASSA CORRIDA+FUNDO SELADOR+TINTA LÁTEX ACRÍLICA PREMIUM BRANCO ACETINADO (CORAL DECORA SEDA BRANCO) </t>
  </si>
  <si>
    <t>Entrada/Hall</t>
  </si>
  <si>
    <t>P existente (70x210)</t>
  </si>
  <si>
    <t>Desconto de 5cm do rodapé</t>
  </si>
  <si>
    <t>REVESTIMENTO DECORATIVO - PISO</t>
  </si>
  <si>
    <t>PEDRAS</t>
  </si>
  <si>
    <t>SOLEIRA GRANITO CINZA ANDORINHA e=2,0CM</t>
  </si>
  <si>
    <t>ESQUADRIAS (PORTAS E JANELAS)</t>
  </si>
  <si>
    <t>H (m)</t>
  </si>
  <si>
    <t>P1 (80X210) EM MADEIRA COM PINTURA ESMALTADA BRANCO NEVE</t>
  </si>
  <si>
    <t>P2 (103,5X220) EM MADEIRA COM PINTURA ESMALTADA BANCO NEVE, COM BARRA VERTICAL DE 40CM EM AÇO INOX E COM CHAPA DE PROTEÇÃO ANTI-IMPACTO EM AÇO INOX</t>
  </si>
  <si>
    <t>Pintura = Folha x 3</t>
  </si>
  <si>
    <t>ESPELHOS</t>
  </si>
  <si>
    <t>RESERVA TÉCNICA</t>
  </si>
  <si>
    <t>Espelho E1 (50x90cm)</t>
  </si>
  <si>
    <t>IS  Fem.</t>
  </si>
  <si>
    <t>LOUÇAS METAIS E ACESSÓRIOS</t>
  </si>
  <si>
    <t>H1 - DISPENSER PAPEL TOALHA TIPO BOBINA AUTOCORTE BRANCO (TRILHA EXCELÊNCIA, LINHA EXACCTA, E-DPCM007)</t>
  </si>
  <si>
    <t>H2 - TORNEIRA DE USO GERAL CROMADA, COM ACABAMENTO POLIDO (DOCOL 1130 NOVA PERTUTTI 00903706)</t>
  </si>
  <si>
    <t>H3 - TORNEIRA MESA CROMADA, COM ACABAMENTO POLIDO E FECHAMENTO AUTOMÁTICO DOCOL PRESSMATIC 17160606) + ENGATE PVC</t>
  </si>
  <si>
    <t>H5 - DISPENSER SABONETE LÍQUIDO 800ML BRANCO (PREMISSE CLEAN VELOX C19428)</t>
  </si>
  <si>
    <t>H7 - BACIA SANITÁRIA EM LOUÇA BRANCA (CELITE AZÁLEA) + CAIXA ACOPLADA DE ACIONAMENTO DUO (CELITE ECOFLUSH 3/6L) + ASSENTO PLÁSTICO SEM ABERTURA FRONTAL (CELITE CONFORT) + ENGATE PVC</t>
  </si>
  <si>
    <t>H8 - DUCHA HIGIÊNICA CROMADA (DOCOL PRIMOR 00673206)</t>
  </si>
  <si>
    <t>H9 - DISPENSER PAPEL HIGIÊNICO INOX COM TAMPA (KITBRAS STANDER 010149)</t>
  </si>
  <si>
    <t>H10 - BARRA DE APOIO RETA EM AÇO INOX ESCOVADO (DOCOL BENEFITE 00963716) - C=80CM, HORIZONTAL</t>
  </si>
  <si>
    <t>H11 - BACIA SANITÁRIA PARA PCD EM LOUÇA BRANCA (CELITE ACESSO CONFORT) + CAIXA ACOPLADA DE ACIONAMENTO DUO (CELITE ECOFLUSH 3/6L) + ASSENTO PLÁSTICO SEM ABERTURA FRONTAL (CELITE CONFORT) + ENGATE PVC</t>
  </si>
  <si>
    <t>H12 - BARRA DE APOIO RETA EM AÇO INOX ESCOVADO (DOCOL BENEFITE 00963716) - C=70CM, VERTICAL</t>
  </si>
  <si>
    <t>H13 - BARRA DE APOIO U EM AÇO INOX ESCOVADO (DOCOL BENEFITE 00974916) - C=24X25CM</t>
  </si>
  <si>
    <t>H14 - LAVATÓRIO (DECA L.510.17 Aspen) + COLUNA SUSPENSA (DECA  C.510.17 Vogue Plus) + VÁLVULA + SIFÃO PVC</t>
  </si>
  <si>
    <t>H4 - LAVATÓRIO (DECA IZY L.915.17) + COLUNA (DECA ASPEN/IXY C.10.17) + VÁLVULA + SIFÃO PVC</t>
  </si>
  <si>
    <t>H15 - BARRA DE APOIO RETA EM AÇO INOX ESCOVADO (DOCOL BENEFITE 00963316) - C=40CM, VERTICAL</t>
  </si>
  <si>
    <t>H18 - ACABAMENTO PARA REGISTRO DE PRESSÃO E REGISTRO GAVETA (1/2" E 3/4"), TIPO VOLANTE DE TRÊS PONTAS, CROMADO (DOCOL NOVA PERTUTTI)</t>
  </si>
  <si>
    <t>H19 - GRELHA E PORTA GRELHA EM AÇO INOX PARA RALO SIFONADO 150X150</t>
  </si>
  <si>
    <t>Espelho</t>
  </si>
  <si>
    <t>REMOÇÃO DE PINTURA</t>
  </si>
  <si>
    <t>Remoção de tubulação</t>
  </si>
  <si>
    <t>m³</t>
  </si>
  <si>
    <t>Rasgo/chumbamento</t>
  </si>
  <si>
    <t>Caixas e Ralos</t>
  </si>
  <si>
    <t>Fem.</t>
  </si>
  <si>
    <t>Masc.</t>
  </si>
  <si>
    <t>Conexões</t>
  </si>
  <si>
    <t>A1</t>
  </si>
  <si>
    <t>25x3/4"</t>
  </si>
  <si>
    <t>jusante de RP e em ambos os lados de RG</t>
  </si>
  <si>
    <t>A2</t>
  </si>
  <si>
    <t>A3</t>
  </si>
  <si>
    <t>A4</t>
  </si>
  <si>
    <t>A5</t>
  </si>
  <si>
    <t>A6</t>
  </si>
  <si>
    <t>25x1/2"</t>
  </si>
  <si>
    <t>Válvulas</t>
  </si>
  <si>
    <t>3/4"</t>
  </si>
  <si>
    <t>Tubos</t>
  </si>
  <si>
    <t>C1</t>
  </si>
  <si>
    <t>R1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</si>
  <si>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</si>
  <si>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</si>
  <si>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</si>
  <si>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</si>
  <si>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</si>
  <si>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</si>
  <si>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</si>
  <si>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</si>
  <si>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</si>
  <si>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</si>
  <si>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</si>
  <si>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</si>
  <si>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</si>
  <si>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</si>
  <si>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100x50</t>
  </si>
  <si>
    <t>E15</t>
  </si>
  <si>
    <t>E16</t>
  </si>
  <si>
    <t>50x50</t>
  </si>
  <si>
    <t>100x100</t>
  </si>
  <si>
    <t xml:space="preserve">100X140X50MM </t>
  </si>
  <si>
    <t>CS - 5 entradas, ralo quadrado</t>
  </si>
  <si>
    <t>Total</t>
  </si>
  <si>
    <t>Var.</t>
  </si>
  <si>
    <t>Adaptador bolsa e rosca PVC marrom</t>
  </si>
  <si>
    <t>J90° PVC marrom</t>
  </si>
  <si>
    <t>Luva PVC marrom</t>
  </si>
  <si>
    <t>Tê c/ bucha de latão PVC azul</t>
  </si>
  <si>
    <t>J90° c/ bucha de latão PVC azul</t>
  </si>
  <si>
    <t>Tê PVC marrom</t>
  </si>
  <si>
    <t>base de RG</t>
  </si>
  <si>
    <t>OBS.:</t>
  </si>
  <si>
    <t>PVC soldável</t>
  </si>
  <si>
    <t>para considerar conexões</t>
  </si>
  <si>
    <t>Anel borracha</t>
  </si>
  <si>
    <t>Adaptador de saída BS PVC Branco Normal</t>
  </si>
  <si>
    <t>J45° PVC Branco Normal</t>
  </si>
  <si>
    <t>J90° PVC Branco Normal</t>
  </si>
  <si>
    <t>J90° PVC Branco Normal (com anel)</t>
  </si>
  <si>
    <t>Junção 45° PVC Branco Normal</t>
  </si>
  <si>
    <t>Luva Simples PVC Branco Normal</t>
  </si>
  <si>
    <t>TV PVC Branco Normal</t>
  </si>
  <si>
    <t>Tê PVC Branco Normal</t>
  </si>
  <si>
    <t>PVC Branco Normal</t>
  </si>
  <si>
    <t>Vent.</t>
  </si>
  <si>
    <t xml:space="preserve">Sala </t>
  </si>
  <si>
    <t>Fixação horizontal de tubulação</t>
  </si>
  <si>
    <t>Escavação e Reaterro de valas</t>
  </si>
  <si>
    <t>Largura da vala</t>
  </si>
  <si>
    <t>Altura/profundidade da vala</t>
  </si>
  <si>
    <t>Comprimento de vala</t>
  </si>
  <si>
    <t>Volume de escavação/reaterro</t>
  </si>
  <si>
    <t>Área de preparo de vala</t>
  </si>
  <si>
    <t>S1</t>
  </si>
  <si>
    <t>Contrapiso e piso vinílico a recompor na sala adjacente</t>
  </si>
  <si>
    <t>+10%</t>
  </si>
  <si>
    <t>A7</t>
  </si>
  <si>
    <t>Luva PVC azul</t>
  </si>
  <si>
    <t>Luminárias</t>
  </si>
  <si>
    <t>Painel LED embutir 40W 4000K 4000lm</t>
  </si>
  <si>
    <t>IL1</t>
  </si>
  <si>
    <t>62x62</t>
  </si>
  <si>
    <t>Eletrodutos</t>
  </si>
  <si>
    <t>PP1</t>
  </si>
  <si>
    <t>Eletroduto flexível corrugado, PVC amarelo</t>
  </si>
  <si>
    <t>25mm</t>
  </si>
  <si>
    <t>C2</t>
  </si>
  <si>
    <t>Caixa de luz de embutir, PVC amarelo</t>
  </si>
  <si>
    <t>4"x2"</t>
  </si>
  <si>
    <t>Caixa octogonal</t>
  </si>
  <si>
    <t>4"x4"</t>
  </si>
  <si>
    <t>C3</t>
  </si>
  <si>
    <t>Materiais e componentes</t>
  </si>
  <si>
    <t>Interruptor simples 10A 250V 4"x2"</t>
  </si>
  <si>
    <t>1S</t>
  </si>
  <si>
    <t>Plugue 2P+T macho/fêmea 10A 250V, de sobrepor</t>
  </si>
  <si>
    <t>2P+T</t>
  </si>
  <si>
    <t>Tomada 2P+T 10A, posto horizontal 4"x2"</t>
  </si>
  <si>
    <t>EA1</t>
  </si>
  <si>
    <t>EE1</t>
  </si>
  <si>
    <t>Cabos</t>
  </si>
  <si>
    <t>Fixação horizontal</t>
  </si>
  <si>
    <t>Circ. 1</t>
  </si>
  <si>
    <t>2,50mm²</t>
  </si>
  <si>
    <t>(F + N + T) IS masc. + IS fem. - Iluminação e força</t>
  </si>
  <si>
    <t>Subtotal</t>
  </si>
  <si>
    <t>Condulete T de alumínio</t>
  </si>
  <si>
    <t>Exaustão</t>
  </si>
  <si>
    <t>EX1</t>
  </si>
  <si>
    <t>G1</t>
  </si>
  <si>
    <t>Grelha externa</t>
  </si>
  <si>
    <t>150x150mm</t>
  </si>
  <si>
    <t>Ventokit 150 - 20W, 220V, 150m³/h</t>
  </si>
  <si>
    <t>D1</t>
  </si>
  <si>
    <t>Duto flexível para exaustor</t>
  </si>
  <si>
    <t>150mm</t>
  </si>
  <si>
    <t>QGBT</t>
  </si>
  <si>
    <t>F2</t>
  </si>
  <si>
    <t>F1</t>
  </si>
  <si>
    <t>N1</t>
  </si>
  <si>
    <t>N2</t>
  </si>
  <si>
    <t>T1</t>
  </si>
  <si>
    <t>T2</t>
  </si>
  <si>
    <t>Re-a</t>
  </si>
  <si>
    <t>Re-b</t>
  </si>
  <si>
    <t>Cabo PP 3x2,5mm² 750V preto</t>
  </si>
  <si>
    <t>3x2,5mm²</t>
  </si>
  <si>
    <t>eletrodutos</t>
  </si>
  <si>
    <t>PROJETOS AS BUILT</t>
  </si>
  <si>
    <t>ARQUITETURA</t>
  </si>
  <si>
    <t>ELÉTRICO</t>
  </si>
  <si>
    <t>HIDROSSANITÁRIO</t>
  </si>
  <si>
    <t>[PISO 1] REVESTIMENTO CERÂMICO PORCELANATO NATURAL RETIFICADO CINZA 60X60CM (PORTOBELLO MINERAL TÉCNICA PORTLAND)</t>
  </si>
  <si>
    <t>empolamento</t>
  </si>
  <si>
    <t>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</si>
</sst>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00"/>
    <numFmt numFmtId="165" formatCode="0.0000"/>
    <numFmt numFmtId="166" formatCode="0.000%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4" tint="-0.499984740745262"/>
      <name val="Arial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0"/>
      <color theme="4" tint="-0.499984740745262"/>
      <name val="Arial"/>
      <family val="2"/>
    </font>
    <font>
      <sz val="11"/>
      <name val="Calibri"/>
      <family val="2"/>
      <scheme val="minor"/>
    </font>
    <font>
      <sz val="10"/>
      <color rgb="FF00B050"/>
      <name val="Arial"/>
      <family val="2"/>
    </font>
  </fonts>
  <fills count="23">
    <fill>
      <patternFill patternType="none"/>
    </fill>
    <fill>
      <patternFill patternType="gray125"/>
    </fill>
    <fill>
      <patternFill patternType="solid">
        <fgColor theme="8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</fills>
  <borders count="9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44">
    <xf numFmtId="0" fontId="0" fillId="0" borderId="0" xfId="0"/>
    <xf numFmtId="0" fontId="0" fillId="4" borderId="10" xfId="0" applyFill="1" applyBorder="1" applyAlignment="1">
      <alignment horizontal="left" vertical="center" wrapText="1"/>
    </xf>
    <xf numFmtId="3" fontId="4" fillId="7" borderId="7" xfId="0" applyNumberFormat="1" applyFont="1" applyFill="1" applyBorder="1" applyAlignment="1">
      <alignment horizontal="center" vertical="center"/>
    </xf>
    <xf numFmtId="2" fontId="0" fillId="8" borderId="8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0" xfId="0" applyAlignment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3" fontId="4" fillId="3" borderId="7" xfId="0" applyNumberFormat="1" applyFon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6" borderId="8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1" fontId="2" fillId="5" borderId="9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right" vertical="center"/>
    </xf>
    <xf numFmtId="0" fontId="0" fillId="8" borderId="10" xfId="0" applyFill="1" applyBorder="1" applyAlignment="1">
      <alignment horizontal="left" vertical="center"/>
    </xf>
    <xf numFmtId="2" fontId="0" fillId="8" borderId="9" xfId="0" applyNumberFormat="1" applyFill="1" applyBorder="1" applyAlignment="1">
      <alignment horizontal="center" vertical="center"/>
    </xf>
    <xf numFmtId="1" fontId="0" fillId="8" borderId="9" xfId="0" applyNumberFormat="1" applyFill="1" applyBorder="1" applyAlignment="1">
      <alignment horizontal="center" vertical="center"/>
    </xf>
    <xf numFmtId="164" fontId="0" fillId="8" borderId="8" xfId="0" applyNumberFormat="1" applyFill="1" applyBorder="1" applyAlignment="1">
      <alignment horizontal="center" vertical="center"/>
    </xf>
    <xf numFmtId="2" fontId="0" fillId="10" borderId="8" xfId="0" applyNumberFormat="1" applyFont="1" applyFill="1" applyBorder="1" applyAlignment="1">
      <alignment horizontal="center" vertical="center"/>
    </xf>
    <xf numFmtId="0" fontId="0" fillId="10" borderId="8" xfId="0" applyFont="1" applyFill="1" applyBorder="1" applyAlignment="1">
      <alignment horizontal="center" vertical="center"/>
    </xf>
    <xf numFmtId="1" fontId="0" fillId="10" borderId="9" xfId="0" applyNumberFormat="1" applyFont="1" applyFill="1" applyBorder="1" applyAlignment="1">
      <alignment horizontal="center" vertical="center"/>
    </xf>
    <xf numFmtId="2" fontId="7" fillId="10" borderId="8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right" vertical="center"/>
    </xf>
    <xf numFmtId="3" fontId="4" fillId="9" borderId="7" xfId="0" applyNumberFormat="1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left" vertical="center"/>
    </xf>
    <xf numFmtId="2" fontId="2" fillId="4" borderId="8" xfId="0" applyNumberFormat="1" applyFont="1" applyFill="1" applyBorder="1" applyAlignment="1">
      <alignment horizontal="center" vertical="center"/>
    </xf>
    <xf numFmtId="0" fontId="3" fillId="3" borderId="11" xfId="0" applyFont="1" applyFill="1" applyBorder="1" applyAlignment="1">
      <alignment vertical="center"/>
    </xf>
    <xf numFmtId="3" fontId="4" fillId="3" borderId="12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horizontal="center" vertical="center"/>
    </xf>
    <xf numFmtId="2" fontId="9" fillId="4" borderId="18" xfId="0" applyNumberFormat="1" applyFont="1" applyFill="1" applyBorder="1" applyAlignment="1">
      <alignment horizontal="center" vertical="center"/>
    </xf>
    <xf numFmtId="2" fontId="9" fillId="4" borderId="19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center"/>
    </xf>
    <xf numFmtId="1" fontId="0" fillId="4" borderId="9" xfId="0" applyNumberForma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left" vertical="center"/>
    </xf>
    <xf numFmtId="0" fontId="5" fillId="7" borderId="6" xfId="0" applyFont="1" applyFill="1" applyBorder="1" applyAlignment="1">
      <alignment horizontal="left" vertical="center"/>
    </xf>
    <xf numFmtId="0" fontId="10" fillId="7" borderId="6" xfId="0" applyFont="1" applyFill="1" applyBorder="1" applyAlignment="1">
      <alignment horizontal="right" vertical="center"/>
    </xf>
    <xf numFmtId="165" fontId="0" fillId="4" borderId="8" xfId="0" applyNumberForma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3" fontId="4" fillId="3" borderId="9" xfId="0" applyNumberFormat="1" applyFont="1" applyFill="1" applyBorder="1" applyAlignment="1">
      <alignment horizontal="center" vertical="center" wrapText="1"/>
    </xf>
    <xf numFmtId="2" fontId="0" fillId="4" borderId="8" xfId="0" applyNumberFormat="1" applyFill="1" applyBorder="1" applyAlignment="1">
      <alignment horizontal="center" vertical="center" wrapText="1"/>
    </xf>
    <xf numFmtId="2" fontId="0" fillId="4" borderId="9" xfId="0" applyNumberFormat="1" applyFill="1" applyBorder="1" applyAlignment="1">
      <alignment horizontal="center" vertical="center" wrapText="1"/>
    </xf>
    <xf numFmtId="2" fontId="2" fillId="5" borderId="8" xfId="0" applyNumberFormat="1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right" vertical="center" wrapText="1"/>
    </xf>
    <xf numFmtId="3" fontId="4" fillId="7" borderId="9" xfId="0" applyNumberFormat="1" applyFont="1" applyFill="1" applyBorder="1" applyAlignment="1">
      <alignment horizontal="center" vertical="center" wrapText="1"/>
    </xf>
    <xf numFmtId="2" fontId="0" fillId="8" borderId="8" xfId="0" applyNumberFormat="1" applyFill="1" applyBorder="1" applyAlignment="1">
      <alignment horizontal="center" vertical="center" wrapText="1"/>
    </xf>
    <xf numFmtId="2" fontId="0" fillId="8" borderId="9" xfId="0" applyNumberForma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left" vertical="center" wrapText="1"/>
    </xf>
    <xf numFmtId="2" fontId="0" fillId="10" borderId="8" xfId="0" applyNumberFormat="1" applyFont="1" applyFill="1" applyBorder="1" applyAlignment="1">
      <alignment horizontal="center" vertical="center" wrapText="1"/>
    </xf>
    <xf numFmtId="0" fontId="0" fillId="10" borderId="8" xfId="0" applyFont="1" applyFill="1" applyBorder="1" applyAlignment="1">
      <alignment horizontal="center" vertical="center" wrapText="1"/>
    </xf>
    <xf numFmtId="2" fontId="7" fillId="10" borderId="8" xfId="0" applyNumberFormat="1" applyFont="1" applyFill="1" applyBorder="1" applyAlignment="1">
      <alignment horizontal="center" vertical="center" wrapText="1"/>
    </xf>
    <xf numFmtId="0" fontId="0" fillId="10" borderId="10" xfId="0" applyFont="1" applyFill="1" applyBorder="1" applyAlignment="1">
      <alignment horizontal="left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164" fontId="0" fillId="8" borderId="8" xfId="0" applyNumberFormat="1" applyFill="1" applyBorder="1" applyAlignment="1">
      <alignment horizontal="center" vertical="center" wrapText="1"/>
    </xf>
    <xf numFmtId="3" fontId="4" fillId="7" borderId="14" xfId="0" applyNumberFormat="1" applyFont="1" applyFill="1" applyBorder="1" applyAlignment="1">
      <alignment horizontal="center" vertical="center" wrapText="1"/>
    </xf>
    <xf numFmtId="2" fontId="0" fillId="8" borderId="13" xfId="0" applyNumberFormat="1" applyFill="1" applyBorder="1" applyAlignment="1">
      <alignment horizontal="center" vertical="center" wrapText="1"/>
    </xf>
    <xf numFmtId="1" fontId="0" fillId="8" borderId="14" xfId="0" applyNumberFormat="1" applyFill="1" applyBorder="1" applyAlignment="1">
      <alignment horizontal="center" vertical="center" wrapText="1"/>
    </xf>
    <xf numFmtId="0" fontId="0" fillId="8" borderId="15" xfId="0" applyFill="1" applyBorder="1" applyAlignment="1">
      <alignment horizontal="left" vertical="center" wrapText="1"/>
    </xf>
    <xf numFmtId="0" fontId="6" fillId="9" borderId="10" xfId="0" applyFont="1" applyFill="1" applyBorder="1" applyAlignment="1">
      <alignment horizontal="right" vertical="center" wrapText="1"/>
    </xf>
    <xf numFmtId="3" fontId="4" fillId="9" borderId="9" xfId="0" applyNumberFormat="1" applyFont="1" applyFill="1" applyBorder="1" applyAlignment="1">
      <alignment horizontal="center" vertical="center" wrapText="1"/>
    </xf>
    <xf numFmtId="1" fontId="0" fillId="10" borderId="9" xfId="0" applyNumberFormat="1" applyFont="1" applyFill="1" applyBorder="1" applyAlignment="1">
      <alignment horizontal="center" vertical="center" wrapText="1"/>
    </xf>
    <xf numFmtId="1" fontId="0" fillId="8" borderId="9" xfId="0" applyNumberFormat="1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right" vertical="center" wrapText="1"/>
    </xf>
    <xf numFmtId="3" fontId="4" fillId="7" borderId="19" xfId="0" applyNumberFormat="1" applyFont="1" applyFill="1" applyBorder="1" applyAlignment="1">
      <alignment horizontal="center" vertical="center" wrapText="1"/>
    </xf>
    <xf numFmtId="2" fontId="0" fillId="8" borderId="18" xfId="0" applyNumberForma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1" fontId="0" fillId="8" borderId="19" xfId="0" applyNumberFormat="1" applyFill="1" applyBorder="1" applyAlignment="1">
      <alignment horizontal="center" vertical="center" wrapText="1"/>
    </xf>
    <xf numFmtId="164" fontId="0" fillId="8" borderId="18" xfId="0" applyNumberForma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left" vertical="center" wrapText="1"/>
    </xf>
    <xf numFmtId="2" fontId="0" fillId="8" borderId="18" xfId="0" applyNumberFormat="1" applyFill="1" applyBorder="1" applyAlignment="1">
      <alignment horizontal="center" vertical="center"/>
    </xf>
    <xf numFmtId="0" fontId="3" fillId="3" borderId="21" xfId="0" applyFont="1" applyFill="1" applyBorder="1" applyAlignment="1">
      <alignment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2" fontId="0" fillId="4" borderId="23" xfId="0" applyNumberFormat="1" applyFill="1" applyBorder="1" applyAlignment="1">
      <alignment horizontal="center" vertical="center" wrapText="1"/>
    </xf>
    <xf numFmtId="2" fontId="0" fillId="4" borderId="24" xfId="0" applyNumberFormat="1" applyFill="1" applyBorder="1" applyAlignment="1">
      <alignment horizontal="center" vertical="center" wrapText="1"/>
    </xf>
    <xf numFmtId="2" fontId="2" fillId="5" borderId="23" xfId="0" applyNumberFormat="1" applyFont="1" applyFill="1" applyBorder="1" applyAlignment="1">
      <alignment horizontal="center" vertical="center" wrapText="1"/>
    </xf>
    <xf numFmtId="164" fontId="0" fillId="4" borderId="23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8" fillId="7" borderId="10" xfId="0" applyFont="1" applyFill="1" applyBorder="1" applyAlignment="1">
      <alignment horizontal="right" vertical="center" wrapText="1"/>
    </xf>
    <xf numFmtId="0" fontId="10" fillId="7" borderId="10" xfId="0" applyFont="1" applyFill="1" applyBorder="1" applyAlignment="1">
      <alignment horizontal="right" vertical="center" wrapText="1"/>
    </xf>
    <xf numFmtId="2" fontId="0" fillId="8" borderId="8" xfId="0" applyNumberFormat="1" applyFont="1" applyFill="1" applyBorder="1" applyAlignment="1">
      <alignment horizontal="center" vertical="center" wrapText="1"/>
    </xf>
    <xf numFmtId="1" fontId="0" fillId="8" borderId="9" xfId="0" applyNumberFormat="1" applyFont="1" applyFill="1" applyBorder="1" applyAlignment="1">
      <alignment horizontal="center" vertical="center" wrapText="1"/>
    </xf>
    <xf numFmtId="0" fontId="0" fillId="8" borderId="10" xfId="0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2" fontId="0" fillId="8" borderId="13" xfId="0" applyNumberFormat="1" applyFont="1" applyFill="1" applyBorder="1" applyAlignment="1">
      <alignment horizontal="center" vertical="center" wrapText="1"/>
    </xf>
    <xf numFmtId="164" fontId="0" fillId="8" borderId="13" xfId="0" applyNumberFormat="1" applyFont="1" applyFill="1" applyBorder="1" applyAlignment="1">
      <alignment horizontal="center" vertical="center" wrapText="1"/>
    </xf>
    <xf numFmtId="164" fontId="0" fillId="8" borderId="8" xfId="0" applyNumberFormat="1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right" vertical="center" wrapText="1"/>
    </xf>
    <xf numFmtId="3" fontId="4" fillId="9" borderId="19" xfId="0" applyNumberFormat="1" applyFont="1" applyFill="1" applyBorder="1" applyAlignment="1">
      <alignment horizontal="center" vertical="center" wrapText="1"/>
    </xf>
    <xf numFmtId="2" fontId="0" fillId="10" borderId="18" xfId="0" applyNumberFormat="1" applyFont="1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vertical="center" wrapText="1"/>
    </xf>
    <xf numFmtId="1" fontId="0" fillId="10" borderId="19" xfId="0" applyNumberFormat="1" applyFont="1" applyFill="1" applyBorder="1" applyAlignment="1">
      <alignment horizontal="center" vertical="center" wrapText="1"/>
    </xf>
    <xf numFmtId="2" fontId="7" fillId="10" borderId="18" xfId="0" applyNumberFormat="1" applyFont="1" applyFill="1" applyBorder="1" applyAlignment="1">
      <alignment horizontal="center" vertical="center" wrapText="1"/>
    </xf>
    <xf numFmtId="0" fontId="0" fillId="10" borderId="20" xfId="0" applyFont="1" applyFill="1" applyBorder="1" applyAlignment="1">
      <alignment horizontal="left" vertical="center" wrapText="1"/>
    </xf>
    <xf numFmtId="2" fontId="7" fillId="10" borderId="0" xfId="0" applyNumberFormat="1" applyFont="1" applyFill="1" applyBorder="1" applyAlignment="1">
      <alignment horizontal="center" vertical="center" wrapText="1"/>
    </xf>
    <xf numFmtId="2" fontId="2" fillId="5" borderId="13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left" vertical="center" wrapText="1"/>
    </xf>
    <xf numFmtId="0" fontId="8" fillId="7" borderId="20" xfId="0" applyFont="1" applyFill="1" applyBorder="1" applyAlignment="1">
      <alignment horizontal="left" vertical="center" wrapText="1"/>
    </xf>
    <xf numFmtId="3" fontId="4" fillId="7" borderId="26" xfId="0" applyNumberFormat="1" applyFont="1" applyFill="1" applyBorder="1" applyAlignment="1">
      <alignment horizontal="center" vertical="center" wrapText="1"/>
    </xf>
    <xf numFmtId="2" fontId="0" fillId="8" borderId="27" xfId="0" applyNumberFormat="1" applyFill="1" applyBorder="1" applyAlignment="1">
      <alignment horizontal="center" vertical="center" wrapText="1"/>
    </xf>
    <xf numFmtId="2" fontId="0" fillId="8" borderId="19" xfId="0" applyNumberForma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right" vertical="center" wrapText="1"/>
    </xf>
    <xf numFmtId="0" fontId="3" fillId="3" borderId="25" xfId="0" applyFont="1" applyFill="1" applyBorder="1" applyAlignment="1">
      <alignment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3" fontId="4" fillId="7" borderId="7" xfId="0" applyNumberFormat="1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right" vertical="center" wrapText="1"/>
    </xf>
    <xf numFmtId="3" fontId="4" fillId="7" borderId="17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2" fontId="0" fillId="4" borderId="28" xfId="0" applyNumberFormat="1" applyFill="1" applyBorder="1" applyAlignment="1">
      <alignment horizontal="center" vertical="center" wrapText="1"/>
    </xf>
    <xf numFmtId="2" fontId="0" fillId="4" borderId="29" xfId="0" applyNumberFormat="1" applyFont="1" applyFill="1" applyBorder="1" applyAlignment="1">
      <alignment horizontal="center" vertical="center" wrapText="1"/>
    </xf>
    <xf numFmtId="2" fontId="0" fillId="4" borderId="15" xfId="0" applyNumberFormat="1" applyFill="1" applyBorder="1" applyAlignment="1">
      <alignment horizontal="left" vertical="center" wrapText="1"/>
    </xf>
    <xf numFmtId="0" fontId="3" fillId="3" borderId="31" xfId="0" applyFont="1" applyFill="1" applyBorder="1" applyAlignment="1">
      <alignment vertical="center" wrapText="1"/>
    </xf>
    <xf numFmtId="4" fontId="4" fillId="3" borderId="32" xfId="0" applyNumberFormat="1" applyFont="1" applyFill="1" applyBorder="1" applyAlignment="1">
      <alignment horizontal="center" vertical="center" wrapText="1"/>
    </xf>
    <xf numFmtId="2" fontId="0" fillId="4" borderId="18" xfId="0" applyNumberFormat="1" applyFont="1" applyFill="1" applyBorder="1" applyAlignment="1">
      <alignment horizontal="center" vertical="center" wrapText="1"/>
    </xf>
    <xf numFmtId="2" fontId="0" fillId="4" borderId="27" xfId="0" applyNumberFormat="1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2" fontId="0" fillId="4" borderId="34" xfId="0" applyNumberFormat="1" applyFill="1" applyBorder="1" applyAlignment="1">
      <alignment horizontal="left" vertical="center" wrapText="1"/>
    </xf>
    <xf numFmtId="1" fontId="0" fillId="4" borderId="8" xfId="0" applyNumberFormat="1" applyFill="1" applyBorder="1" applyAlignment="1">
      <alignment horizontal="center" vertical="center"/>
    </xf>
    <xf numFmtId="1" fontId="2" fillId="5" borderId="14" xfId="0" applyNumberFormat="1" applyFont="1" applyFill="1" applyBorder="1" applyAlignment="1">
      <alignment horizontal="center" vertical="center" wrapText="1"/>
    </xf>
    <xf numFmtId="9" fontId="5" fillId="7" borderId="6" xfId="0" applyNumberFormat="1" applyFont="1" applyFill="1" applyBorder="1" applyAlignment="1">
      <alignment horizontal="right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9" fontId="5" fillId="7" borderId="31" xfId="0" applyNumberFormat="1" applyFont="1" applyFill="1" applyBorder="1" applyAlignment="1">
      <alignment horizontal="right" vertical="center" wrapText="1"/>
    </xf>
    <xf numFmtId="4" fontId="4" fillId="7" borderId="32" xfId="0" applyNumberFormat="1" applyFont="1" applyFill="1" applyBorder="1" applyAlignment="1">
      <alignment horizontal="center" vertical="center" wrapText="1"/>
    </xf>
    <xf numFmtId="2" fontId="0" fillId="8" borderId="26" xfId="0" applyNumberFormat="1" applyFill="1" applyBorder="1" applyAlignment="1">
      <alignment horizontal="center" vertical="center" wrapText="1"/>
    </xf>
    <xf numFmtId="164" fontId="0" fillId="8" borderId="27" xfId="0" applyNumberFormat="1" applyFill="1" applyBorder="1" applyAlignment="1">
      <alignment horizontal="center" vertical="center" wrapText="1"/>
    </xf>
    <xf numFmtId="0" fontId="0" fillId="8" borderId="34" xfId="0" applyFill="1" applyBorder="1" applyAlignment="1">
      <alignment horizontal="left" vertical="center" wrapText="1"/>
    </xf>
    <xf numFmtId="1" fontId="0" fillId="8" borderId="8" xfId="0" applyNumberFormat="1" applyFill="1" applyBorder="1" applyAlignment="1">
      <alignment horizontal="center" vertical="center"/>
    </xf>
    <xf numFmtId="0" fontId="5" fillId="7" borderId="11" xfId="0" applyFont="1" applyFill="1" applyBorder="1" applyAlignment="1">
      <alignment horizontal="right" vertical="center" wrapText="1"/>
    </xf>
    <xf numFmtId="3" fontId="4" fillId="7" borderId="12" xfId="0" applyNumberFormat="1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3" fontId="4" fillId="7" borderId="32" xfId="0" applyNumberFormat="1" applyFont="1" applyFill="1" applyBorder="1" applyAlignment="1">
      <alignment horizontal="center" vertical="center" wrapText="1"/>
    </xf>
    <xf numFmtId="0" fontId="0" fillId="8" borderId="27" xfId="0" applyFill="1" applyBorder="1" applyAlignment="1">
      <alignment horizontal="center" vertical="center" wrapText="1"/>
    </xf>
    <xf numFmtId="1" fontId="0" fillId="8" borderId="26" xfId="0" applyNumberForma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right" vertical="center" wrapText="1"/>
    </xf>
    <xf numFmtId="0" fontId="3" fillId="11" borderId="1" xfId="0" applyFont="1" applyFill="1" applyBorder="1" applyAlignment="1">
      <alignment horizontal="left" vertical="center"/>
    </xf>
    <xf numFmtId="0" fontId="3" fillId="11" borderId="3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wrapText="1"/>
    </xf>
    <xf numFmtId="0" fontId="4" fillId="3" borderId="8" xfId="0" applyFont="1" applyFill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0" fillId="4" borderId="9" xfId="0" applyNumberFormat="1" applyFont="1" applyFill="1" applyBorder="1" applyAlignment="1">
      <alignment horizontal="center"/>
    </xf>
    <xf numFmtId="2" fontId="0" fillId="4" borderId="37" xfId="0" applyNumberFormat="1" applyFont="1" applyFill="1" applyBorder="1" applyAlignment="1">
      <alignment horizontal="center"/>
    </xf>
    <xf numFmtId="2" fontId="0" fillId="13" borderId="36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1" fontId="0" fillId="4" borderId="37" xfId="0" applyNumberFormat="1" applyFont="1" applyFill="1" applyBorder="1" applyAlignment="1">
      <alignment horizontal="center"/>
    </xf>
    <xf numFmtId="9" fontId="0" fillId="4" borderId="38" xfId="1" applyNumberFormat="1" applyFont="1" applyFill="1" applyBorder="1" applyAlignment="1">
      <alignment horizontal="center"/>
    </xf>
    <xf numFmtId="1" fontId="0" fillId="12" borderId="10" xfId="0" applyNumberFormat="1" applyFont="1" applyFill="1" applyBorder="1" applyAlignment="1">
      <alignment horizontal="left"/>
    </xf>
    <xf numFmtId="0" fontId="4" fillId="7" borderId="6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 wrapText="1"/>
    </xf>
    <xf numFmtId="0" fontId="4" fillId="7" borderId="8" xfId="0" applyFont="1" applyFill="1" applyBorder="1" applyAlignment="1">
      <alignment horizontal="center"/>
    </xf>
    <xf numFmtId="2" fontId="0" fillId="8" borderId="7" xfId="0" applyNumberFormat="1" applyFont="1" applyFill="1" applyBorder="1" applyAlignment="1">
      <alignment horizontal="center"/>
    </xf>
    <xf numFmtId="2" fontId="0" fillId="8" borderId="9" xfId="0" applyNumberFormat="1" applyFont="1" applyFill="1" applyBorder="1" applyAlignment="1">
      <alignment horizontal="center"/>
    </xf>
    <xf numFmtId="2" fontId="0" fillId="8" borderId="37" xfId="0" applyNumberFormat="1" applyFont="1" applyFill="1" applyBorder="1" applyAlignment="1">
      <alignment horizontal="center"/>
    </xf>
    <xf numFmtId="2" fontId="0" fillId="14" borderId="36" xfId="0" applyNumberFormat="1" applyFont="1" applyFill="1" applyBorder="1" applyAlignment="1">
      <alignment horizontal="center"/>
    </xf>
    <xf numFmtId="1" fontId="0" fillId="8" borderId="7" xfId="0" applyNumberFormat="1" applyFont="1" applyFill="1" applyBorder="1" applyAlignment="1">
      <alignment horizontal="center"/>
    </xf>
    <xf numFmtId="1" fontId="0" fillId="8" borderId="37" xfId="0" applyNumberFormat="1" applyFont="1" applyFill="1" applyBorder="1" applyAlignment="1">
      <alignment horizontal="center"/>
    </xf>
    <xf numFmtId="9" fontId="0" fillId="8" borderId="38" xfId="1" applyNumberFormat="1" applyFont="1" applyFill="1" applyBorder="1" applyAlignment="1">
      <alignment horizontal="center"/>
    </xf>
    <xf numFmtId="1" fontId="0" fillId="12" borderId="20" xfId="0" applyNumberFormat="1" applyFont="1" applyFill="1" applyBorder="1" applyAlignment="1">
      <alignment horizontal="left"/>
    </xf>
    <xf numFmtId="1" fontId="0" fillId="4" borderId="9" xfId="0" applyNumberFormat="1" applyFont="1" applyFill="1" applyBorder="1" applyAlignment="1">
      <alignment horizontal="center"/>
    </xf>
    <xf numFmtId="1" fontId="0" fillId="13" borderId="36" xfId="0" applyNumberFormat="1" applyFont="1" applyFill="1" applyBorder="1" applyAlignment="1">
      <alignment horizontal="center"/>
    </xf>
    <xf numFmtId="1" fontId="0" fillId="8" borderId="9" xfId="0" applyNumberFormat="1" applyFont="1" applyFill="1" applyBorder="1" applyAlignment="1">
      <alignment horizontal="center"/>
    </xf>
    <xf numFmtId="1" fontId="0" fillId="14" borderId="36" xfId="0" applyNumberFormat="1" applyFont="1" applyFill="1" applyBorder="1" applyAlignment="1">
      <alignment horizontal="center"/>
    </xf>
    <xf numFmtId="0" fontId="4" fillId="7" borderId="18" xfId="0" applyFont="1" applyFill="1" applyBorder="1" applyAlignment="1">
      <alignment horizontal="left" wrapText="1"/>
    </xf>
    <xf numFmtId="0" fontId="4" fillId="7" borderId="18" xfId="0" applyFont="1" applyFill="1" applyBorder="1" applyAlignment="1">
      <alignment horizontal="center"/>
    </xf>
    <xf numFmtId="2" fontId="0" fillId="8" borderId="19" xfId="0" applyNumberFormat="1" applyFont="1" applyFill="1" applyBorder="1" applyAlignment="1">
      <alignment horizontal="center"/>
    </xf>
    <xf numFmtId="2" fontId="0" fillId="8" borderId="40" xfId="0" applyNumberFormat="1" applyFont="1" applyFill="1" applyBorder="1" applyAlignment="1">
      <alignment horizontal="center"/>
    </xf>
    <xf numFmtId="2" fontId="0" fillId="14" borderId="39" xfId="0" applyNumberFormat="1" applyFont="1" applyFill="1" applyBorder="1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 wrapText="1"/>
    </xf>
    <xf numFmtId="0" fontId="4" fillId="3" borderId="6" xfId="0" applyFont="1" applyFill="1" applyBorder="1" applyAlignment="1">
      <alignment horizontal="center"/>
    </xf>
    <xf numFmtId="0" fontId="4" fillId="7" borderId="6" xfId="0" applyFont="1" applyFill="1" applyBorder="1" applyAlignment="1">
      <alignment horizontal="center"/>
    </xf>
    <xf numFmtId="2" fontId="0" fillId="12" borderId="10" xfId="0" applyNumberFormat="1" applyFont="1" applyFill="1" applyBorder="1" applyAlignment="1">
      <alignment horizontal="left"/>
    </xf>
    <xf numFmtId="0" fontId="4" fillId="3" borderId="18" xfId="0" applyFont="1" applyFill="1" applyBorder="1" applyAlignment="1">
      <alignment horizontal="left" wrapText="1"/>
    </xf>
    <xf numFmtId="0" fontId="4" fillId="3" borderId="18" xfId="0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2" fontId="0" fillId="4" borderId="19" xfId="0" applyNumberFormat="1" applyFont="1" applyFill="1" applyBorder="1" applyAlignment="1">
      <alignment horizontal="center"/>
    </xf>
    <xf numFmtId="2" fontId="0" fillId="4" borderId="40" xfId="0" applyNumberFormat="1" applyFont="1" applyFill="1" applyBorder="1" applyAlignment="1">
      <alignment horizontal="center"/>
    </xf>
    <xf numFmtId="2" fontId="0" fillId="13" borderId="39" xfId="0" applyNumberFormat="1" applyFont="1" applyFill="1" applyBorder="1" applyAlignment="1">
      <alignment horizontal="center"/>
    </xf>
    <xf numFmtId="9" fontId="0" fillId="4" borderId="41" xfId="1" applyNumberFormat="1" applyFont="1" applyFill="1" applyBorder="1" applyAlignment="1">
      <alignment horizontal="center"/>
    </xf>
    <xf numFmtId="2" fontId="0" fillId="12" borderId="20" xfId="0" applyNumberFormat="1" applyFont="1" applyFill="1" applyBorder="1" applyAlignment="1">
      <alignment horizontal="left"/>
    </xf>
    <xf numFmtId="0" fontId="3" fillId="11" borderId="3" xfId="0" applyFont="1" applyFill="1" applyBorder="1" applyAlignment="1">
      <alignment horizontal="left" vertical="center"/>
    </xf>
    <xf numFmtId="0" fontId="4" fillId="3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left"/>
    </xf>
    <xf numFmtId="0" fontId="0" fillId="0" borderId="0" xfId="0" applyAlignment="1">
      <alignment horizontal="left"/>
    </xf>
    <xf numFmtId="3" fontId="4" fillId="11" borderId="4" xfId="0" applyNumberFormat="1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/>
    </xf>
    <xf numFmtId="3" fontId="4" fillId="7" borderId="9" xfId="0" applyNumberFormat="1" applyFont="1" applyFill="1" applyBorder="1" applyAlignment="1">
      <alignment horizontal="center"/>
    </xf>
    <xf numFmtId="3" fontId="4" fillId="7" borderId="19" xfId="0" applyNumberFormat="1" applyFont="1" applyFill="1" applyBorder="1" applyAlignment="1">
      <alignment horizontal="center"/>
    </xf>
    <xf numFmtId="1" fontId="2" fillId="5" borderId="42" xfId="0" applyNumberFormat="1" applyFont="1" applyFill="1" applyBorder="1" applyAlignment="1">
      <alignment horizontal="center" vertical="center"/>
    </xf>
    <xf numFmtId="1" fontId="2" fillId="5" borderId="35" xfId="0" applyNumberFormat="1" applyFont="1" applyFill="1" applyBorder="1" applyAlignment="1">
      <alignment horizontal="center" vertical="center"/>
    </xf>
    <xf numFmtId="1" fontId="2" fillId="5" borderId="2" xfId="0" applyNumberFormat="1" applyFont="1" applyFill="1" applyBorder="1" applyAlignment="1">
      <alignment horizontal="center" vertical="center"/>
    </xf>
    <xf numFmtId="10" fontId="0" fillId="4" borderId="41" xfId="1" applyNumberFormat="1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/>
    </xf>
    <xf numFmtId="3" fontId="4" fillId="3" borderId="19" xfId="0" applyNumberFormat="1" applyFont="1" applyFill="1" applyBorder="1" applyAlignment="1">
      <alignment horizontal="center"/>
    </xf>
    <xf numFmtId="1" fontId="2" fillId="5" borderId="5" xfId="0" applyNumberFormat="1" applyFont="1" applyFill="1" applyBorder="1" applyAlignment="1">
      <alignment horizontal="left" vertical="center"/>
    </xf>
    <xf numFmtId="0" fontId="0" fillId="0" borderId="45" xfId="0" applyBorder="1"/>
    <xf numFmtId="0" fontId="0" fillId="0" borderId="49" xfId="0" applyBorder="1"/>
    <xf numFmtId="0" fontId="0" fillId="0" borderId="48" xfId="0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1" fontId="2" fillId="5" borderId="4" xfId="0" applyNumberFormat="1" applyFont="1" applyFill="1" applyBorder="1" applyAlignment="1">
      <alignment horizontal="center" vertical="center"/>
    </xf>
    <xf numFmtId="9" fontId="0" fillId="0" borderId="0" xfId="1" applyFont="1"/>
    <xf numFmtId="49" fontId="0" fillId="12" borderId="16" xfId="0" applyNumberFormat="1" applyFont="1" applyFill="1" applyBorder="1" applyAlignment="1">
      <alignment horizontal="center"/>
    </xf>
    <xf numFmtId="49" fontId="0" fillId="12" borderId="35" xfId="0" applyNumberFormat="1" applyFont="1" applyFill="1" applyBorder="1" applyAlignment="1">
      <alignment vertical="center"/>
    </xf>
    <xf numFmtId="1" fontId="0" fillId="4" borderId="17" xfId="0" applyNumberFormat="1" applyFont="1" applyFill="1" applyBorder="1" applyAlignment="1">
      <alignment horizontal="center"/>
    </xf>
    <xf numFmtId="1" fontId="0" fillId="4" borderId="40" xfId="0" applyNumberFormat="1" applyFont="1" applyFill="1" applyBorder="1" applyAlignment="1">
      <alignment horizontal="center"/>
    </xf>
    <xf numFmtId="1" fontId="0" fillId="13" borderId="39" xfId="0" applyNumberFormat="1" applyFont="1" applyFill="1" applyBorder="1" applyAlignment="1">
      <alignment horizontal="center"/>
    </xf>
    <xf numFmtId="1" fontId="0" fillId="4" borderId="19" xfId="0" applyNumberFormat="1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2" fontId="0" fillId="12" borderId="25" xfId="0" applyNumberFormat="1" applyFont="1" applyFill="1" applyBorder="1" applyAlignment="1">
      <alignment horizontal="left"/>
    </xf>
    <xf numFmtId="2" fontId="0" fillId="4" borderId="53" xfId="0" applyNumberFormat="1" applyFill="1" applyBorder="1" applyAlignment="1">
      <alignment vertical="center"/>
    </xf>
    <xf numFmtId="2" fontId="0" fillId="4" borderId="54" xfId="0" applyNumberFormat="1" applyFill="1" applyBorder="1" applyAlignment="1">
      <alignment vertical="center"/>
    </xf>
    <xf numFmtId="2" fontId="0" fillId="4" borderId="0" xfId="0" applyNumberFormat="1" applyFill="1" applyBorder="1" applyAlignment="1">
      <alignment vertical="center"/>
    </xf>
    <xf numFmtId="2" fontId="0" fillId="4" borderId="46" xfId="0" applyNumberFormat="1" applyFill="1" applyBorder="1" applyAlignment="1">
      <alignment vertical="center"/>
    </xf>
    <xf numFmtId="2" fontId="0" fillId="4" borderId="18" xfId="0" applyNumberFormat="1" applyFill="1" applyBorder="1"/>
    <xf numFmtId="2" fontId="0" fillId="4" borderId="39" xfId="0" applyNumberFormat="1" applyFill="1" applyBorder="1"/>
    <xf numFmtId="2" fontId="0" fillId="4" borderId="53" xfId="0" applyNumberFormat="1" applyFill="1" applyBorder="1"/>
    <xf numFmtId="2" fontId="0" fillId="4" borderId="54" xfId="0" applyNumberFormat="1" applyFill="1" applyBorder="1"/>
    <xf numFmtId="2" fontId="0" fillId="4" borderId="0" xfId="0" applyNumberFormat="1" applyFill="1" applyBorder="1"/>
    <xf numFmtId="2" fontId="0" fillId="4" borderId="46" xfId="0" applyNumberFormat="1" applyFill="1" applyBorder="1"/>
    <xf numFmtId="2" fontId="0" fillId="4" borderId="56" xfId="0" applyNumberFormat="1" applyFill="1" applyBorder="1" applyAlignment="1">
      <alignment vertical="center"/>
    </xf>
    <xf numFmtId="2" fontId="0" fillId="4" borderId="45" xfId="0" applyNumberFormat="1" applyFill="1" applyBorder="1" applyAlignment="1">
      <alignment vertical="center"/>
    </xf>
    <xf numFmtId="2" fontId="0" fillId="4" borderId="19" xfId="0" applyNumberFormat="1" applyFill="1" applyBorder="1"/>
    <xf numFmtId="2" fontId="0" fillId="4" borderId="56" xfId="0" applyNumberFormat="1" applyFill="1" applyBorder="1"/>
    <xf numFmtId="2" fontId="0" fillId="4" borderId="45" xfId="0" applyNumberFormat="1" applyFill="1" applyBorder="1"/>
    <xf numFmtId="0" fontId="4" fillId="7" borderId="16" xfId="0" applyFont="1" applyFill="1" applyBorder="1" applyAlignment="1">
      <alignment horizontal="center"/>
    </xf>
    <xf numFmtId="0" fontId="4" fillId="3" borderId="57" xfId="0" applyFont="1" applyFill="1" applyBorder="1" applyAlignment="1">
      <alignment horizontal="center"/>
    </xf>
    <xf numFmtId="0" fontId="4" fillId="3" borderId="58" xfId="0" applyFont="1" applyFill="1" applyBorder="1" applyAlignment="1">
      <alignment horizontal="center"/>
    </xf>
    <xf numFmtId="3" fontId="4" fillId="3" borderId="59" xfId="0" applyNumberFormat="1" applyFont="1" applyFill="1" applyBorder="1" applyAlignment="1">
      <alignment horizontal="center"/>
    </xf>
    <xf numFmtId="2" fontId="0" fillId="4" borderId="59" xfId="0" applyNumberFormat="1" applyFont="1" applyFill="1" applyBorder="1" applyAlignment="1">
      <alignment horizontal="center"/>
    </xf>
    <xf numFmtId="2" fontId="0" fillId="4" borderId="60" xfId="0" applyNumberFormat="1" applyFont="1" applyFill="1" applyBorder="1" applyAlignment="1">
      <alignment horizontal="center"/>
    </xf>
    <xf numFmtId="0" fontId="4" fillId="17" borderId="6" xfId="0" applyFont="1" applyFill="1" applyBorder="1" applyAlignment="1">
      <alignment horizontal="center"/>
    </xf>
    <xf numFmtId="0" fontId="4" fillId="17" borderId="8" xfId="0" applyFont="1" applyFill="1" applyBorder="1" applyAlignment="1">
      <alignment horizontal="left" wrapText="1"/>
    </xf>
    <xf numFmtId="3" fontId="4" fillId="17" borderId="9" xfId="0" applyNumberFormat="1" applyFont="1" applyFill="1" applyBorder="1" applyAlignment="1">
      <alignment horizontal="center"/>
    </xf>
    <xf numFmtId="2" fontId="0" fillId="18" borderId="9" xfId="0" applyNumberFormat="1" applyFont="1" applyFill="1" applyBorder="1" applyAlignment="1">
      <alignment horizontal="center"/>
    </xf>
    <xf numFmtId="2" fontId="0" fillId="18" borderId="37" xfId="0" applyNumberFormat="1" applyFont="1" applyFill="1" applyBorder="1" applyAlignment="1">
      <alignment horizontal="center"/>
    </xf>
    <xf numFmtId="2" fontId="0" fillId="18" borderId="36" xfId="0" applyNumberFormat="1" applyFont="1" applyFill="1" applyBorder="1" applyAlignment="1">
      <alignment horizontal="center"/>
    </xf>
    <xf numFmtId="0" fontId="4" fillId="17" borderId="57" xfId="0" applyFont="1" applyFill="1" applyBorder="1" applyAlignment="1">
      <alignment horizontal="center"/>
    </xf>
    <xf numFmtId="0" fontId="4" fillId="17" borderId="58" xfId="0" applyFont="1" applyFill="1" applyBorder="1" applyAlignment="1">
      <alignment horizontal="left" wrapText="1"/>
    </xf>
    <xf numFmtId="3" fontId="4" fillId="17" borderId="59" xfId="0" applyNumberFormat="1" applyFont="1" applyFill="1" applyBorder="1" applyAlignment="1">
      <alignment horizontal="center"/>
    </xf>
    <xf numFmtId="2" fontId="0" fillId="18" borderId="59" xfId="0" applyNumberFormat="1" applyFont="1" applyFill="1" applyBorder="1" applyAlignment="1">
      <alignment horizontal="center"/>
    </xf>
    <xf numFmtId="2" fontId="0" fillId="18" borderId="60" xfId="0" applyNumberFormat="1" applyFont="1" applyFill="1" applyBorder="1" applyAlignment="1">
      <alignment horizontal="center"/>
    </xf>
    <xf numFmtId="2" fontId="0" fillId="18" borderId="61" xfId="0" applyNumberFormat="1" applyFont="1" applyFill="1" applyBorder="1" applyAlignment="1">
      <alignment horizontal="center"/>
    </xf>
    <xf numFmtId="2" fontId="4" fillId="17" borderId="58" xfId="0" applyNumberFormat="1" applyFont="1" applyFill="1" applyBorder="1" applyAlignment="1">
      <alignment horizontal="center"/>
    </xf>
    <xf numFmtId="0" fontId="4" fillId="3" borderId="31" xfId="0" applyFont="1" applyFill="1" applyBorder="1" applyAlignment="1">
      <alignment horizontal="center"/>
    </xf>
    <xf numFmtId="0" fontId="4" fillId="3" borderId="27" xfId="0" applyFont="1" applyFill="1" applyBorder="1" applyAlignment="1">
      <alignment horizontal="left" wrapText="1"/>
    </xf>
    <xf numFmtId="3" fontId="4" fillId="3" borderId="26" xfId="0" applyNumberFormat="1" applyFont="1" applyFill="1" applyBorder="1" applyAlignment="1">
      <alignment horizontal="center"/>
    </xf>
    <xf numFmtId="2" fontId="0" fillId="4" borderId="26" xfId="0" applyNumberFormat="1" applyFont="1" applyFill="1" applyBorder="1" applyAlignment="1">
      <alignment horizontal="center"/>
    </xf>
    <xf numFmtId="2" fontId="0" fillId="4" borderId="62" xfId="0" applyNumberFormat="1" applyFont="1" applyFill="1" applyBorder="1" applyAlignment="1">
      <alignment horizontal="center"/>
    </xf>
    <xf numFmtId="0" fontId="4" fillId="7" borderId="11" xfId="0" applyFont="1" applyFill="1" applyBorder="1" applyAlignment="1">
      <alignment horizontal="center"/>
    </xf>
    <xf numFmtId="0" fontId="4" fillId="7" borderId="13" xfId="0" applyFont="1" applyFill="1" applyBorder="1" applyAlignment="1">
      <alignment horizontal="left" wrapText="1"/>
    </xf>
    <xf numFmtId="0" fontId="4" fillId="7" borderId="13" xfId="0" applyFont="1" applyFill="1" applyBorder="1" applyAlignment="1">
      <alignment horizontal="center"/>
    </xf>
    <xf numFmtId="3" fontId="4" fillId="7" borderId="14" xfId="0" applyNumberFormat="1" applyFont="1" applyFill="1" applyBorder="1" applyAlignment="1">
      <alignment horizontal="center"/>
    </xf>
    <xf numFmtId="1" fontId="0" fillId="14" borderId="64" xfId="0" applyNumberFormat="1" applyFont="1" applyFill="1" applyBorder="1" applyAlignment="1">
      <alignment horizontal="center"/>
    </xf>
    <xf numFmtId="2" fontId="0" fillId="8" borderId="14" xfId="0" applyNumberFormat="1" applyFont="1" applyFill="1" applyBorder="1" applyAlignment="1">
      <alignment horizontal="center"/>
    </xf>
    <xf numFmtId="2" fontId="0" fillId="8" borderId="63" xfId="0" applyNumberFormat="1" applyFont="1" applyFill="1" applyBorder="1" applyAlignment="1">
      <alignment horizontal="center"/>
    </xf>
    <xf numFmtId="0" fontId="4" fillId="3" borderId="58" xfId="0" applyFont="1" applyFill="1" applyBorder="1" applyAlignment="1">
      <alignment horizontal="left"/>
    </xf>
    <xf numFmtId="1" fontId="0" fillId="13" borderId="61" xfId="0" applyNumberFormat="1" applyFont="1" applyFill="1" applyBorder="1" applyAlignment="1">
      <alignment horizontal="center"/>
    </xf>
    <xf numFmtId="0" fontId="4" fillId="15" borderId="65" xfId="0" applyFont="1" applyFill="1" applyBorder="1" applyAlignment="1">
      <alignment horizontal="center"/>
    </xf>
    <xf numFmtId="0" fontId="4" fillId="15" borderId="66" xfId="0" applyFont="1" applyFill="1" applyBorder="1" applyAlignment="1">
      <alignment horizontal="left" wrapText="1"/>
    </xf>
    <xf numFmtId="2" fontId="4" fillId="15" borderId="66" xfId="0" applyNumberFormat="1" applyFont="1" applyFill="1" applyBorder="1" applyAlignment="1">
      <alignment horizontal="center"/>
    </xf>
    <xf numFmtId="3" fontId="4" fillId="15" borderId="67" xfId="0" applyNumberFormat="1" applyFont="1" applyFill="1" applyBorder="1" applyAlignment="1">
      <alignment horizontal="center"/>
    </xf>
    <xf numFmtId="2" fontId="0" fillId="16" borderId="67" xfId="0" applyNumberFormat="1" applyFont="1" applyFill="1" applyBorder="1" applyAlignment="1">
      <alignment horizontal="center"/>
    </xf>
    <xf numFmtId="2" fontId="0" fillId="16" borderId="68" xfId="0" applyNumberFormat="1" applyFont="1" applyFill="1" applyBorder="1" applyAlignment="1">
      <alignment horizontal="center"/>
    </xf>
    <xf numFmtId="2" fontId="0" fillId="16" borderId="69" xfId="0" applyNumberFormat="1" applyFont="1" applyFill="1" applyBorder="1" applyAlignment="1">
      <alignment horizontal="center"/>
    </xf>
    <xf numFmtId="2" fontId="0" fillId="16" borderId="33" xfId="0" applyNumberFormat="1" applyFont="1" applyFill="1" applyBorder="1" applyAlignment="1">
      <alignment horizontal="center"/>
    </xf>
    <xf numFmtId="1" fontId="2" fillId="5" borderId="5" xfId="0" applyNumberFormat="1" applyFont="1" applyFill="1" applyBorder="1" applyAlignment="1">
      <alignment vertical="center"/>
    </xf>
    <xf numFmtId="49" fontId="0" fillId="12" borderId="5" xfId="0" applyNumberFormat="1" applyFont="1" applyFill="1" applyBorder="1" applyAlignment="1">
      <alignment vertical="center"/>
    </xf>
    <xf numFmtId="1" fontId="2" fillId="5" borderId="35" xfId="0" applyNumberFormat="1" applyFont="1" applyFill="1" applyBorder="1" applyAlignment="1">
      <alignment horizontal="center" vertical="center"/>
    </xf>
    <xf numFmtId="2" fontId="0" fillId="0" borderId="48" xfId="0" applyNumberFormat="1" applyBorder="1"/>
    <xf numFmtId="2" fontId="0" fillId="0" borderId="0" xfId="0" applyNumberFormat="1"/>
    <xf numFmtId="2" fontId="0" fillId="0" borderId="51" xfId="0" applyNumberFormat="1" applyBorder="1"/>
    <xf numFmtId="0" fontId="0" fillId="0" borderId="70" xfId="0" applyBorder="1"/>
    <xf numFmtId="0" fontId="0" fillId="0" borderId="0" xfId="0" applyBorder="1"/>
    <xf numFmtId="2" fontId="0" fillId="0" borderId="50" xfId="0" applyNumberFormat="1" applyBorder="1"/>
    <xf numFmtId="2" fontId="0" fillId="0" borderId="0" xfId="0" applyNumberFormat="1" applyAlignment="1">
      <alignment vertical="center"/>
    </xf>
    <xf numFmtId="2" fontId="0" fillId="0" borderId="45" xfId="0" applyNumberFormat="1" applyBorder="1" applyAlignment="1">
      <alignment vertical="center"/>
    </xf>
    <xf numFmtId="0" fontId="0" fillId="0" borderId="52" xfId="0" applyBorder="1" applyAlignment="1">
      <alignment horizontal="left"/>
    </xf>
    <xf numFmtId="2" fontId="0" fillId="0" borderId="49" xfId="0" applyNumberFormat="1" applyBorder="1"/>
    <xf numFmtId="2" fontId="0" fillId="0" borderId="45" xfId="0" applyNumberFormat="1" applyBorder="1"/>
    <xf numFmtId="2" fontId="0" fillId="0" borderId="48" xfId="0" applyNumberFormat="1" applyBorder="1" applyAlignment="1">
      <alignment horizontal="left"/>
    </xf>
    <xf numFmtId="0" fontId="0" fillId="0" borderId="50" xfId="0" applyBorder="1" applyAlignment="1">
      <alignment horizontal="left"/>
    </xf>
    <xf numFmtId="9" fontId="0" fillId="0" borderId="0" xfId="0" applyNumberFormat="1"/>
    <xf numFmtId="0" fontId="3" fillId="11" borderId="4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wrapText="1"/>
    </xf>
    <xf numFmtId="1" fontId="2" fillId="5" borderId="35" xfId="0" applyNumberFormat="1" applyFont="1" applyFill="1" applyBorder="1" applyAlignment="1">
      <alignment horizontal="center" vertical="center"/>
    </xf>
    <xf numFmtId="2" fontId="0" fillId="0" borderId="52" xfId="0" applyNumberFormat="1" applyBorder="1" applyAlignment="1">
      <alignment horizontal="left"/>
    </xf>
    <xf numFmtId="0" fontId="0" fillId="0" borderId="44" xfId="0" applyBorder="1"/>
    <xf numFmtId="1" fontId="2" fillId="5" borderId="35" xfId="0" applyNumberFormat="1" applyFont="1" applyFill="1" applyBorder="1" applyAlignment="1">
      <alignment horizontal="center" vertical="center"/>
    </xf>
    <xf numFmtId="49" fontId="0" fillId="12" borderId="10" xfId="0" applyNumberFormat="1" applyFont="1" applyFill="1" applyBorder="1" applyAlignment="1">
      <alignment horizontal="left"/>
    </xf>
    <xf numFmtId="2" fontId="0" fillId="8" borderId="71" xfId="0" applyNumberFormat="1" applyFont="1" applyFill="1" applyBorder="1" applyAlignment="1">
      <alignment horizontal="center"/>
    </xf>
    <xf numFmtId="2" fontId="0" fillId="13" borderId="7" xfId="0" applyNumberFormat="1" applyFont="1" applyFill="1" applyBorder="1" applyAlignment="1">
      <alignment horizontal="center"/>
    </xf>
    <xf numFmtId="2" fontId="0" fillId="14" borderId="7" xfId="0" applyNumberFormat="1" applyFont="1" applyFill="1" applyBorder="1" applyAlignment="1">
      <alignment horizontal="center"/>
    </xf>
    <xf numFmtId="1" fontId="2" fillId="5" borderId="73" xfId="0" applyNumberFormat="1" applyFont="1" applyFill="1" applyBorder="1" applyAlignment="1">
      <alignment horizontal="center" vertical="center"/>
    </xf>
    <xf numFmtId="2" fontId="0" fillId="13" borderId="38" xfId="0" applyNumberFormat="1" applyFont="1" applyFill="1" applyBorder="1" applyAlignment="1">
      <alignment horizontal="center"/>
    </xf>
    <xf numFmtId="2" fontId="0" fillId="14" borderId="38" xfId="0" applyNumberFormat="1" applyFont="1" applyFill="1" applyBorder="1" applyAlignment="1">
      <alignment horizontal="center"/>
    </xf>
    <xf numFmtId="10" fontId="0" fillId="4" borderId="38" xfId="1" applyNumberFormat="1" applyFont="1" applyFill="1" applyBorder="1" applyAlignment="1">
      <alignment horizontal="center"/>
    </xf>
    <xf numFmtId="10" fontId="0" fillId="8" borderId="38" xfId="1" applyNumberFormat="1" applyFont="1" applyFill="1" applyBorder="1" applyAlignment="1">
      <alignment horizontal="center"/>
    </xf>
    <xf numFmtId="10" fontId="0" fillId="4" borderId="38" xfId="1" applyNumberFormat="1" applyFont="1" applyFill="1" applyBorder="1" applyAlignment="1">
      <alignment horizontal="right"/>
    </xf>
    <xf numFmtId="10" fontId="0" fillId="8" borderId="38" xfId="1" applyNumberFormat="1" applyFont="1" applyFill="1" applyBorder="1" applyAlignment="1">
      <alignment horizontal="right"/>
    </xf>
    <xf numFmtId="2" fontId="0" fillId="19" borderId="37" xfId="0" applyNumberFormat="1" applyFont="1" applyFill="1" applyBorder="1" applyAlignment="1">
      <alignment horizontal="center"/>
    </xf>
    <xf numFmtId="2" fontId="0" fillId="20" borderId="37" xfId="0" applyNumberFormat="1" applyFont="1" applyFill="1" applyBorder="1" applyAlignment="1">
      <alignment horizontal="center"/>
    </xf>
    <xf numFmtId="2" fontId="0" fillId="21" borderId="37" xfId="0" applyNumberFormat="1" applyFont="1" applyFill="1" applyBorder="1" applyAlignment="1">
      <alignment horizontal="center"/>
    </xf>
    <xf numFmtId="2" fontId="0" fillId="22" borderId="37" xfId="0" applyNumberFormat="1" applyFont="1" applyFill="1" applyBorder="1" applyAlignment="1">
      <alignment horizontal="center"/>
    </xf>
    <xf numFmtId="0" fontId="4" fillId="7" borderId="57" xfId="0" applyFont="1" applyFill="1" applyBorder="1" applyAlignment="1">
      <alignment horizontal="center" vertical="center"/>
    </xf>
    <xf numFmtId="0" fontId="4" fillId="7" borderId="58" xfId="0" applyFont="1" applyFill="1" applyBorder="1" applyAlignment="1">
      <alignment horizontal="left"/>
    </xf>
    <xf numFmtId="0" fontId="4" fillId="7" borderId="58" xfId="0" applyFont="1" applyFill="1" applyBorder="1" applyAlignment="1">
      <alignment horizontal="center"/>
    </xf>
    <xf numFmtId="3" fontId="4" fillId="7" borderId="59" xfId="0" applyNumberFormat="1" applyFont="1" applyFill="1" applyBorder="1" applyAlignment="1">
      <alignment horizontal="center"/>
    </xf>
    <xf numFmtId="2" fontId="0" fillId="8" borderId="60" xfId="0" applyNumberFormat="1" applyFont="1" applyFill="1" applyBorder="1" applyAlignment="1">
      <alignment horizontal="center"/>
    </xf>
    <xf numFmtId="2" fontId="0" fillId="20" borderId="60" xfId="0" applyNumberFormat="1" applyFont="1" applyFill="1" applyBorder="1" applyAlignment="1">
      <alignment horizontal="center"/>
    </xf>
    <xf numFmtId="2" fontId="0" fillId="19" borderId="60" xfId="0" applyNumberFormat="1" applyFont="1" applyFill="1" applyBorder="1" applyAlignment="1">
      <alignment horizontal="center"/>
    </xf>
    <xf numFmtId="2" fontId="0" fillId="21" borderId="60" xfId="0" applyNumberFormat="1" applyFont="1" applyFill="1" applyBorder="1" applyAlignment="1">
      <alignment horizontal="center"/>
    </xf>
    <xf numFmtId="2" fontId="0" fillId="22" borderId="60" xfId="0" applyNumberFormat="1" applyFont="1" applyFill="1" applyBorder="1" applyAlignment="1">
      <alignment horizontal="center"/>
    </xf>
    <xf numFmtId="2" fontId="0" fillId="8" borderId="75" xfId="0" applyNumberFormat="1" applyFont="1" applyFill="1" applyBorder="1" applyAlignment="1">
      <alignment horizontal="center"/>
    </xf>
    <xf numFmtId="2" fontId="0" fillId="14" borderId="76" xfId="0" applyNumberFormat="1" applyFont="1" applyFill="1" applyBorder="1" applyAlignment="1">
      <alignment horizontal="center"/>
    </xf>
    <xf numFmtId="2" fontId="0" fillId="14" borderId="77" xfId="0" applyNumberFormat="1" applyFont="1" applyFill="1" applyBorder="1" applyAlignment="1">
      <alignment horizontal="center"/>
    </xf>
    <xf numFmtId="2" fontId="0" fillId="13" borderId="76" xfId="0" applyNumberFormat="1" applyFont="1" applyFill="1" applyBorder="1" applyAlignment="1">
      <alignment horizontal="center"/>
    </xf>
    <xf numFmtId="2" fontId="0" fillId="13" borderId="77" xfId="0" applyNumberFormat="1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left"/>
    </xf>
    <xf numFmtId="2" fontId="0" fillId="8" borderId="72" xfId="0" applyNumberFormat="1" applyFont="1" applyFill="1" applyBorder="1" applyAlignment="1">
      <alignment horizontal="center"/>
    </xf>
    <xf numFmtId="0" fontId="4" fillId="3" borderId="21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left"/>
    </xf>
    <xf numFmtId="0" fontId="4" fillId="3" borderId="23" xfId="0" applyFon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/>
    </xf>
    <xf numFmtId="2" fontId="0" fillId="4" borderId="74" xfId="0" applyNumberFormat="1" applyFont="1" applyFill="1" applyBorder="1" applyAlignment="1">
      <alignment horizontal="center"/>
    </xf>
    <xf numFmtId="2" fontId="0" fillId="4" borderId="29" xfId="0" applyNumberFormat="1" applyFont="1" applyFill="1" applyBorder="1" applyAlignment="1">
      <alignment horizontal="center"/>
    </xf>
    <xf numFmtId="2" fontId="0" fillId="13" borderId="22" xfId="0" applyNumberFormat="1" applyFont="1" applyFill="1" applyBorder="1" applyAlignment="1">
      <alignment horizontal="center"/>
    </xf>
    <xf numFmtId="2" fontId="0" fillId="13" borderId="78" xfId="0" applyNumberFormat="1" applyFont="1" applyFill="1" applyBorder="1" applyAlignment="1">
      <alignment horizontal="center"/>
    </xf>
    <xf numFmtId="2" fontId="0" fillId="4" borderId="22" xfId="0" applyNumberFormat="1" applyFont="1" applyFill="1" applyBorder="1" applyAlignment="1">
      <alignment horizontal="center"/>
    </xf>
    <xf numFmtId="9" fontId="0" fillId="4" borderId="78" xfId="1" applyNumberFormat="1" applyFont="1" applyFill="1" applyBorder="1" applyAlignment="1">
      <alignment horizontal="center"/>
    </xf>
    <xf numFmtId="1" fontId="0" fillId="8" borderId="79" xfId="0" applyNumberFormat="1" applyFont="1" applyFill="1" applyBorder="1" applyAlignment="1">
      <alignment horizontal="center"/>
    </xf>
    <xf numFmtId="1" fontId="0" fillId="8" borderId="80" xfId="0" applyNumberFormat="1" applyFont="1" applyFill="1" applyBorder="1" applyAlignment="1">
      <alignment horizontal="center"/>
    </xf>
    <xf numFmtId="9" fontId="0" fillId="8" borderId="81" xfId="1" applyNumberFormat="1" applyFont="1" applyFill="1" applyBorder="1" applyAlignment="1">
      <alignment horizontal="center"/>
    </xf>
    <xf numFmtId="2" fontId="0" fillId="13" borderId="32" xfId="0" applyNumberFormat="1" applyFont="1" applyFill="1" applyBorder="1" applyAlignment="1">
      <alignment horizontal="center"/>
    </xf>
    <xf numFmtId="2" fontId="0" fillId="13" borderId="82" xfId="0" applyNumberFormat="1" applyFont="1" applyFill="1" applyBorder="1" applyAlignment="1">
      <alignment horizontal="center"/>
    </xf>
    <xf numFmtId="2" fontId="0" fillId="20" borderId="40" xfId="0" applyNumberFormat="1" applyFont="1" applyFill="1" applyBorder="1" applyAlignment="1">
      <alignment horizontal="center"/>
    </xf>
    <xf numFmtId="2" fontId="0" fillId="21" borderId="40" xfId="0" applyNumberFormat="1" applyFont="1" applyFill="1" applyBorder="1" applyAlignment="1">
      <alignment horizontal="center"/>
    </xf>
    <xf numFmtId="1" fontId="0" fillId="8" borderId="76" xfId="0" applyNumberFormat="1" applyFont="1" applyFill="1" applyBorder="1" applyAlignment="1">
      <alignment horizontal="center"/>
    </xf>
    <xf numFmtId="1" fontId="0" fillId="8" borderId="60" xfId="0" applyNumberFormat="1" applyFont="1" applyFill="1" applyBorder="1" applyAlignment="1">
      <alignment horizontal="center"/>
    </xf>
    <xf numFmtId="9" fontId="0" fillId="8" borderId="77" xfId="1" applyNumberFormat="1" applyFont="1" applyFill="1" applyBorder="1" applyAlignment="1">
      <alignment horizontal="center"/>
    </xf>
    <xf numFmtId="1" fontId="0" fillId="8" borderId="17" xfId="0" applyNumberFormat="1" applyFont="1" applyFill="1" applyBorder="1" applyAlignment="1">
      <alignment horizontal="center"/>
    </xf>
    <xf numFmtId="1" fontId="0" fillId="8" borderId="40" xfId="0" applyNumberFormat="1" applyFont="1" applyFill="1" applyBorder="1" applyAlignment="1">
      <alignment horizontal="center"/>
    </xf>
    <xf numFmtId="9" fontId="0" fillId="8" borderId="41" xfId="1" applyNumberFormat="1" applyFont="1" applyFill="1" applyBorder="1" applyAlignment="1">
      <alignment horizontal="center"/>
    </xf>
    <xf numFmtId="2" fontId="0" fillId="8" borderId="2" xfId="0" applyNumberFormat="1" applyFont="1" applyFill="1" applyBorder="1" applyAlignment="1">
      <alignment horizontal="center"/>
    </xf>
    <xf numFmtId="2" fontId="0" fillId="8" borderId="42" xfId="0" applyNumberFormat="1" applyFont="1" applyFill="1" applyBorder="1" applyAlignment="1">
      <alignment horizontal="center"/>
    </xf>
    <xf numFmtId="9" fontId="0" fillId="8" borderId="73" xfId="1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/>
    </xf>
    <xf numFmtId="0" fontId="5" fillId="7" borderId="31" xfId="0" applyFont="1" applyFill="1" applyBorder="1" applyAlignment="1">
      <alignment horizontal="right" vertical="center"/>
    </xf>
    <xf numFmtId="3" fontId="4" fillId="7" borderId="32" xfId="0" applyNumberFormat="1" applyFont="1" applyFill="1" applyBorder="1" applyAlignment="1">
      <alignment horizontal="center" vertical="center"/>
    </xf>
    <xf numFmtId="2" fontId="0" fillId="8" borderId="27" xfId="0" applyNumberForma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34" xfId="0" applyFill="1" applyBorder="1" applyAlignment="1">
      <alignment horizontal="left" vertical="center"/>
    </xf>
    <xf numFmtId="2" fontId="0" fillId="4" borderId="25" xfId="0" applyNumberFormat="1" applyFill="1" applyBorder="1" applyAlignment="1">
      <alignment horizontal="left" vertical="center" wrapText="1"/>
    </xf>
    <xf numFmtId="0" fontId="5" fillId="7" borderId="83" xfId="0" applyFont="1" applyFill="1" applyBorder="1" applyAlignment="1">
      <alignment horizontal="right" vertical="center"/>
    </xf>
    <xf numFmtId="3" fontId="4" fillId="7" borderId="84" xfId="0" applyNumberFormat="1" applyFont="1" applyFill="1" applyBorder="1" applyAlignment="1">
      <alignment horizontal="center" vertical="center"/>
    </xf>
    <xf numFmtId="2" fontId="0" fillId="8" borderId="85" xfId="0" applyNumberFormat="1" applyFill="1" applyBorder="1" applyAlignment="1">
      <alignment horizontal="center" vertical="center"/>
    </xf>
    <xf numFmtId="0" fontId="0" fillId="8" borderId="85" xfId="0" applyFill="1" applyBorder="1" applyAlignment="1">
      <alignment horizontal="center" vertical="center"/>
    </xf>
    <xf numFmtId="2" fontId="0" fillId="8" borderId="48" xfId="0" applyNumberFormat="1" applyFill="1" applyBorder="1" applyAlignment="1">
      <alignment horizontal="center" vertical="center"/>
    </xf>
    <xf numFmtId="0" fontId="0" fillId="8" borderId="87" xfId="0" applyFill="1" applyBorder="1" applyAlignment="1">
      <alignment horizontal="left" vertical="center"/>
    </xf>
    <xf numFmtId="2" fontId="0" fillId="4" borderId="71" xfId="0" applyNumberFormat="1" applyFont="1" applyFill="1" applyBorder="1" applyAlignment="1">
      <alignment horizontal="center" vertical="center" wrapText="1"/>
    </xf>
    <xf numFmtId="2" fontId="0" fillId="4" borderId="10" xfId="0" applyNumberFormat="1" applyFill="1" applyBorder="1" applyAlignment="1">
      <alignment horizontal="left" vertical="center" wrapText="1"/>
    </xf>
    <xf numFmtId="0" fontId="0" fillId="8" borderId="86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2" fontId="2" fillId="6" borderId="18" xfId="0" applyNumberFormat="1" applyFont="1" applyFill="1" applyBorder="1" applyAlignment="1">
      <alignment horizontal="center" vertical="center"/>
    </xf>
    <xf numFmtId="1" fontId="2" fillId="5" borderId="35" xfId="0" applyNumberFormat="1" applyFont="1" applyFill="1" applyBorder="1" applyAlignment="1">
      <alignment horizontal="center" vertical="center"/>
    </xf>
    <xf numFmtId="1" fontId="2" fillId="5" borderId="24" xfId="0" applyNumberFormat="1" applyFont="1" applyFill="1" applyBorder="1" applyAlignment="1">
      <alignment horizontal="center" vertical="center" wrapText="1"/>
    </xf>
    <xf numFmtId="1" fontId="2" fillId="5" borderId="26" xfId="0" applyNumberFormat="1" applyFont="1" applyFill="1" applyBorder="1" applyAlignment="1">
      <alignment horizontal="center" vertical="center" wrapText="1"/>
    </xf>
    <xf numFmtId="1" fontId="0" fillId="4" borderId="21" xfId="0" applyNumberFormat="1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center" vertical="center"/>
    </xf>
    <xf numFmtId="9" fontId="0" fillId="4" borderId="30" xfId="1" applyFont="1" applyFill="1" applyBorder="1" applyAlignment="1">
      <alignment horizontal="center" vertical="center"/>
    </xf>
    <xf numFmtId="2" fontId="0" fillId="8" borderId="6" xfId="0" applyNumberFormat="1" applyFill="1" applyBorder="1" applyAlignment="1">
      <alignment horizontal="center" vertical="center"/>
    </xf>
    <xf numFmtId="9" fontId="0" fillId="8" borderId="36" xfId="1" applyFon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9" fontId="0" fillId="4" borderId="36" xfId="1" applyFont="1" applyFill="1" applyBorder="1" applyAlignment="1">
      <alignment horizontal="center" vertical="center"/>
    </xf>
    <xf numFmtId="2" fontId="0" fillId="8" borderId="16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9" fontId="0" fillId="8" borderId="39" xfId="1" applyFont="1" applyFill="1" applyBorder="1" applyAlignment="1">
      <alignment horizontal="center" vertical="center"/>
    </xf>
    <xf numFmtId="1" fontId="0" fillId="4" borderId="16" xfId="0" applyNumberFormat="1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9" fontId="0" fillId="4" borderId="39" xfId="1" applyFont="1" applyFill="1" applyBorder="1" applyAlignment="1">
      <alignment horizontal="center" vertical="center"/>
    </xf>
    <xf numFmtId="1" fontId="0" fillId="8" borderId="18" xfId="0" applyNumberFormat="1" applyFill="1" applyBorder="1" applyAlignment="1">
      <alignment horizontal="center" vertical="center"/>
    </xf>
    <xf numFmtId="2" fontId="0" fillId="4" borderId="21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166" fontId="0" fillId="4" borderId="36" xfId="1" applyNumberFormat="1" applyFont="1" applyFill="1" applyBorder="1" applyAlignment="1">
      <alignment horizontal="center" vertical="center"/>
    </xf>
    <xf numFmtId="2" fontId="0" fillId="4" borderId="16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2" fontId="4" fillId="17" borderId="8" xfId="0" applyNumberFormat="1" applyFont="1" applyFill="1" applyBorder="1" applyAlignment="1">
      <alignment horizontal="center"/>
    </xf>
    <xf numFmtId="1" fontId="2" fillId="5" borderId="5" xfId="0" applyNumberFormat="1" applyFont="1" applyFill="1" applyBorder="1" applyAlignment="1">
      <alignment horizontal="center" vertical="center"/>
    </xf>
    <xf numFmtId="1" fontId="0" fillId="12" borderId="6" xfId="0" applyNumberFormat="1" applyFont="1" applyFill="1" applyBorder="1" applyAlignment="1">
      <alignment horizontal="left" vertical="center"/>
    </xf>
    <xf numFmtId="1" fontId="0" fillId="12" borderId="36" xfId="0" applyNumberFormat="1" applyFont="1" applyFill="1" applyBorder="1" applyAlignment="1">
      <alignment horizontal="left" vertical="center"/>
    </xf>
    <xf numFmtId="1" fontId="0" fillId="12" borderId="21" xfId="0" applyNumberFormat="1" applyFont="1" applyFill="1" applyBorder="1" applyAlignment="1">
      <alignment horizontal="left" vertical="center"/>
    </xf>
    <xf numFmtId="1" fontId="0" fillId="12" borderId="30" xfId="0" applyNumberFormat="1" applyFont="1" applyFill="1" applyBorder="1" applyAlignment="1">
      <alignment horizontal="left" vertical="center"/>
    </xf>
    <xf numFmtId="1" fontId="0" fillId="12" borderId="16" xfId="0" applyNumberFormat="1" applyFont="1" applyFill="1" applyBorder="1" applyAlignment="1">
      <alignment horizontal="left" vertical="center"/>
    </xf>
    <xf numFmtId="1" fontId="0" fillId="12" borderId="39" xfId="0" applyNumberFormat="1" applyFont="1" applyFill="1" applyBorder="1" applyAlignment="1">
      <alignment horizontal="left" vertical="center"/>
    </xf>
    <xf numFmtId="2" fontId="4" fillId="3" borderId="27" xfId="0" applyNumberFormat="1" applyFont="1" applyFill="1" applyBorder="1" applyAlignment="1">
      <alignment horizontal="center"/>
    </xf>
    <xf numFmtId="9" fontId="9" fillId="4" borderId="13" xfId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left" vertical="center" indent="1"/>
    </xf>
    <xf numFmtId="2" fontId="9" fillId="4" borderId="18" xfId="0" applyNumberFormat="1" applyFont="1" applyFill="1" applyBorder="1" applyAlignment="1">
      <alignment horizontal="left" vertical="center" indent="1"/>
    </xf>
    <xf numFmtId="2" fontId="0" fillId="8" borderId="25" xfId="0" applyNumberFormat="1" applyFont="1" applyFill="1" applyBorder="1" applyAlignment="1">
      <alignment horizontal="center"/>
    </xf>
    <xf numFmtId="2" fontId="0" fillId="8" borderId="20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35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left" vertical="center"/>
    </xf>
    <xf numFmtId="1" fontId="2" fillId="5" borderId="35" xfId="0" applyNumberFormat="1" applyFont="1" applyFill="1" applyBorder="1" applyAlignment="1">
      <alignment horizontal="left" vertical="center"/>
    </xf>
    <xf numFmtId="1" fontId="2" fillId="5" borderId="47" xfId="0" applyNumberFormat="1" applyFont="1" applyFill="1" applyBorder="1" applyAlignment="1">
      <alignment horizontal="center" vertical="center"/>
    </xf>
    <xf numFmtId="1" fontId="2" fillId="5" borderId="35" xfId="0" applyNumberFormat="1" applyFont="1" applyFill="1" applyBorder="1" applyAlignment="1">
      <alignment horizontal="center" vertical="center"/>
    </xf>
    <xf numFmtId="2" fontId="0" fillId="8" borderId="88" xfId="0" applyNumberFormat="1" applyFont="1" applyFill="1" applyBorder="1" applyAlignment="1">
      <alignment horizontal="center" vertical="center"/>
    </xf>
    <xf numFmtId="2" fontId="0" fillId="8" borderId="89" xfId="0" applyNumberFormat="1" applyFont="1" applyFill="1" applyBorder="1" applyAlignment="1">
      <alignment horizontal="center" vertical="center"/>
    </xf>
    <xf numFmtId="2" fontId="0" fillId="8" borderId="20" xfId="0" applyNumberFormat="1" applyFont="1" applyFill="1" applyBorder="1" applyAlignment="1">
      <alignment horizontal="center" vertical="center"/>
    </xf>
    <xf numFmtId="0" fontId="0" fillId="4" borderId="55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2" fillId="4" borderId="43" xfId="0" applyFont="1" applyFill="1" applyBorder="1" applyAlignment="1">
      <alignment horizontal="center" vertical="center"/>
    </xf>
    <xf numFmtId="0" fontId="2" fillId="4" borderId="17" xfId="0" applyFont="1" applyFill="1" applyBorder="1" applyAlignment="1">
      <alignment horizontal="center" vertical="center"/>
    </xf>
    <xf numFmtId="0" fontId="2" fillId="4" borderId="55" xfId="0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63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08"/>
  <sheetViews>
    <sheetView showGridLines="0" tabSelected="1" zoomScale="85" zoomScaleNormal="85" workbookViewId="0">
      <selection activeCell="I57" sqref="I57"/>
    </sheetView>
  </sheetViews>
  <sheetFormatPr defaultRowHeight="15" x14ac:dyDescent="0.25"/>
  <cols>
    <col min="1" max="1" width="70" bestFit="1" customWidth="1"/>
    <col min="2" max="2" width="6.7109375" bestFit="1" customWidth="1"/>
    <col min="3" max="3" width="6.140625" bestFit="1" customWidth="1"/>
    <col min="4" max="6" width="6" bestFit="1" customWidth="1"/>
    <col min="7" max="7" width="5.7109375" bestFit="1" customWidth="1"/>
    <col min="8" max="8" width="6" bestFit="1" customWidth="1"/>
    <col min="9" max="10" width="6.85546875" bestFit="1" customWidth="1"/>
    <col min="11" max="11" width="69" bestFit="1" customWidth="1"/>
    <col min="12" max="12" width="2.28515625" customWidth="1"/>
    <col min="13" max="13" width="9.5703125" bestFit="1" customWidth="1"/>
    <col min="14" max="14" width="6.7109375" bestFit="1" customWidth="1"/>
    <col min="15" max="15" width="7.140625" bestFit="1" customWidth="1"/>
    <col min="21" max="21" width="16.140625" bestFit="1" customWidth="1"/>
  </cols>
  <sheetData>
    <row r="1" spans="1:15" ht="15.75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5" ht="15.75" thickBot="1" x14ac:dyDescent="0.3">
      <c r="A2" s="7" t="s">
        <v>0</v>
      </c>
      <c r="B2" s="8" t="s">
        <v>1</v>
      </c>
      <c r="C2" s="9" t="s">
        <v>2</v>
      </c>
      <c r="D2" s="9" t="s">
        <v>3</v>
      </c>
      <c r="E2" s="9" t="s">
        <v>4</v>
      </c>
      <c r="F2" s="9" t="s">
        <v>5</v>
      </c>
      <c r="G2" s="10" t="s">
        <v>1</v>
      </c>
      <c r="H2" s="9" t="s">
        <v>6</v>
      </c>
      <c r="I2" s="9" t="s">
        <v>7</v>
      </c>
      <c r="J2" s="9" t="s">
        <v>8</v>
      </c>
      <c r="K2" s="11" t="s">
        <v>9</v>
      </c>
      <c r="M2" s="411" t="s">
        <v>41</v>
      </c>
      <c r="N2" s="429" t="s">
        <v>42</v>
      </c>
      <c r="O2" s="430"/>
    </row>
    <row r="3" spans="1:15" x14ac:dyDescent="0.25">
      <c r="A3" s="12" t="s">
        <v>39</v>
      </c>
      <c r="B3" s="13" t="s">
        <v>40</v>
      </c>
      <c r="C3" s="14">
        <v>3.78</v>
      </c>
      <c r="D3" s="15">
        <v>1.56</v>
      </c>
      <c r="E3" s="14">
        <v>0.02</v>
      </c>
      <c r="F3" s="14"/>
      <c r="G3" s="16"/>
      <c r="H3" s="17"/>
      <c r="I3" s="18">
        <f>C3*D3</f>
        <v>5.8967999999999998</v>
      </c>
      <c r="J3" s="19">
        <f>I3*E3</f>
        <v>0.117936</v>
      </c>
      <c r="K3" s="20"/>
      <c r="M3" s="410">
        <v>5.9</v>
      </c>
      <c r="N3" s="52">
        <f>M3-I3</f>
        <v>3.2000000000005357E-3</v>
      </c>
      <c r="O3" s="412">
        <f>N3/M3</f>
        <v>5.4237288135602294E-4</v>
      </c>
    </row>
    <row r="4" spans="1:15" x14ac:dyDescent="0.25">
      <c r="A4" s="12" t="s">
        <v>11</v>
      </c>
      <c r="B4" s="13" t="s">
        <v>1</v>
      </c>
      <c r="C4" s="14"/>
      <c r="D4" s="14"/>
      <c r="E4" s="14"/>
      <c r="F4" s="14"/>
      <c r="G4" s="21">
        <f>SUM(G5:G6)</f>
        <v>2</v>
      </c>
      <c r="H4" s="14"/>
      <c r="I4" s="14"/>
      <c r="J4" s="19">
        <f>SUM(J5:J6)</f>
        <v>2.1599999999999999E-4</v>
      </c>
      <c r="K4" s="20"/>
      <c r="M4" s="410">
        <v>2</v>
      </c>
      <c r="N4" s="15">
        <f>M4-G4</f>
        <v>0</v>
      </c>
      <c r="O4" s="400">
        <f>N4/M4</f>
        <v>0</v>
      </c>
    </row>
    <row r="5" spans="1:15" x14ac:dyDescent="0.25">
      <c r="A5" s="22" t="s">
        <v>12</v>
      </c>
      <c r="B5" s="2"/>
      <c r="C5" s="3">
        <v>0.09</v>
      </c>
      <c r="D5" s="3">
        <v>0.12</v>
      </c>
      <c r="E5" s="3">
        <v>0.01</v>
      </c>
      <c r="F5" s="3"/>
      <c r="G5" s="4">
        <v>0</v>
      </c>
      <c r="H5" s="5"/>
      <c r="I5" s="3">
        <f>C5*D5*G5</f>
        <v>0</v>
      </c>
      <c r="J5" s="3">
        <f>I5*E5</f>
        <v>0</v>
      </c>
      <c r="K5" s="23"/>
      <c r="M5" s="397"/>
      <c r="N5" s="26"/>
      <c r="O5" s="398"/>
    </row>
    <row r="6" spans="1:15" x14ac:dyDescent="0.25">
      <c r="A6" s="22" t="s">
        <v>13</v>
      </c>
      <c r="B6" s="2"/>
      <c r="C6" s="3">
        <v>0.09</v>
      </c>
      <c r="D6" s="3">
        <v>0.12</v>
      </c>
      <c r="E6" s="3">
        <v>0.01</v>
      </c>
      <c r="F6" s="3"/>
      <c r="G6" s="4">
        <v>2</v>
      </c>
      <c r="H6" s="5"/>
      <c r="I6" s="3">
        <f>C6*D6*G6</f>
        <v>2.1599999999999998E-2</v>
      </c>
      <c r="J6" s="3">
        <f>I6*E6</f>
        <v>2.1599999999999999E-4</v>
      </c>
      <c r="K6" s="23"/>
      <c r="M6" s="397"/>
      <c r="N6" s="26"/>
      <c r="O6" s="398"/>
    </row>
    <row r="7" spans="1:15" x14ac:dyDescent="0.25">
      <c r="A7" s="12" t="s">
        <v>14</v>
      </c>
      <c r="B7" s="13" t="s">
        <v>1</v>
      </c>
      <c r="C7" s="14"/>
      <c r="D7" s="14"/>
      <c r="E7" s="14"/>
      <c r="F7" s="14"/>
      <c r="G7" s="21">
        <f>SUM(G8:G10)</f>
        <v>2</v>
      </c>
      <c r="H7" s="17"/>
      <c r="I7" s="14"/>
      <c r="J7" s="19">
        <f>SUM(J8:J10)</f>
        <v>8.4000000000000012E-3</v>
      </c>
      <c r="K7" s="20"/>
      <c r="M7" s="410">
        <v>2</v>
      </c>
      <c r="N7" s="15">
        <f>M7-G7</f>
        <v>0</v>
      </c>
      <c r="O7" s="400">
        <f>N7/M7</f>
        <v>0</v>
      </c>
    </row>
    <row r="8" spans="1:15" x14ac:dyDescent="0.25">
      <c r="A8" s="22" t="s">
        <v>15</v>
      </c>
      <c r="B8" s="2"/>
      <c r="C8" s="3">
        <v>0.6</v>
      </c>
      <c r="D8" s="3">
        <v>0.6</v>
      </c>
      <c r="E8" s="3">
        <v>0.01</v>
      </c>
      <c r="F8" s="3"/>
      <c r="G8" s="4"/>
      <c r="H8" s="5"/>
      <c r="I8" s="3">
        <f>C8*D8*G8</f>
        <v>0</v>
      </c>
      <c r="J8" s="3">
        <f>I8*E8</f>
        <v>0</v>
      </c>
      <c r="K8" s="23"/>
      <c r="M8" s="397"/>
      <c r="N8" s="26"/>
      <c r="O8" s="398"/>
    </row>
    <row r="9" spans="1:15" x14ac:dyDescent="0.25">
      <c r="A9" s="22" t="s">
        <v>16</v>
      </c>
      <c r="B9" s="2"/>
      <c r="C9" s="3">
        <v>0.14000000000000001</v>
      </c>
      <c r="D9" s="3">
        <v>0.14000000000000001</v>
      </c>
      <c r="E9" s="3">
        <v>0.1</v>
      </c>
      <c r="F9" s="3"/>
      <c r="G9" s="4"/>
      <c r="H9" s="5"/>
      <c r="I9" s="3">
        <f>C9*D9*G9</f>
        <v>0</v>
      </c>
      <c r="J9" s="3">
        <f>I9*E9</f>
        <v>0</v>
      </c>
      <c r="K9" s="23"/>
      <c r="M9" s="397"/>
      <c r="N9" s="26"/>
      <c r="O9" s="398"/>
    </row>
    <row r="10" spans="1:15" x14ac:dyDescent="0.25">
      <c r="A10" s="22" t="s">
        <v>17</v>
      </c>
      <c r="B10" s="2"/>
      <c r="C10" s="3">
        <v>0.6</v>
      </c>
      <c r="D10" s="3">
        <v>0.14000000000000001</v>
      </c>
      <c r="E10" s="3">
        <v>0.05</v>
      </c>
      <c r="F10" s="3"/>
      <c r="G10" s="4">
        <v>2</v>
      </c>
      <c r="H10" s="5"/>
      <c r="I10" s="3">
        <f>C10*D10*G10</f>
        <v>0.16800000000000001</v>
      </c>
      <c r="J10" s="3">
        <f>I10*E10</f>
        <v>8.4000000000000012E-3</v>
      </c>
      <c r="K10" s="23"/>
      <c r="M10" s="397"/>
      <c r="N10" s="26"/>
      <c r="O10" s="398"/>
    </row>
    <row r="11" spans="1:15" x14ac:dyDescent="0.25">
      <c r="A11" s="12" t="s">
        <v>44</v>
      </c>
      <c r="B11" s="13" t="s">
        <v>40</v>
      </c>
      <c r="C11" s="14">
        <v>0.74</v>
      </c>
      <c r="D11" s="14">
        <v>2.14</v>
      </c>
      <c r="E11" s="14">
        <v>0.16</v>
      </c>
      <c r="F11" s="14"/>
      <c r="G11" s="48">
        <v>2</v>
      </c>
      <c r="H11" s="17"/>
      <c r="I11" s="18">
        <f>C11*D11*G11</f>
        <v>3.1672000000000002</v>
      </c>
      <c r="J11" s="19">
        <f>I11*E11</f>
        <v>0.50675200000000009</v>
      </c>
      <c r="K11" s="20" t="s">
        <v>43</v>
      </c>
      <c r="M11" s="410">
        <v>2</v>
      </c>
      <c r="N11" s="15">
        <f>M11-G11</f>
        <v>0</v>
      </c>
      <c r="O11" s="400">
        <f>N11/M11</f>
        <v>0</v>
      </c>
    </row>
    <row r="12" spans="1:15" x14ac:dyDescent="0.25">
      <c r="A12" s="12" t="s">
        <v>20</v>
      </c>
      <c r="B12" s="13" t="s">
        <v>1</v>
      </c>
      <c r="C12" s="14"/>
      <c r="D12" s="14"/>
      <c r="E12" s="14"/>
      <c r="F12" s="14"/>
      <c r="G12" s="21">
        <f>SUM(G13:G14)</f>
        <v>4</v>
      </c>
      <c r="H12" s="14"/>
      <c r="I12" s="14"/>
      <c r="J12" s="19">
        <f>SUM(J13:J14)</f>
        <v>0.21254600000000004</v>
      </c>
      <c r="K12" s="20"/>
      <c r="M12" s="410">
        <f>2+2</f>
        <v>4</v>
      </c>
      <c r="N12" s="15">
        <f>M12-G12</f>
        <v>0</v>
      </c>
      <c r="O12" s="400">
        <f>N12/M12</f>
        <v>0</v>
      </c>
    </row>
    <row r="13" spans="1:15" x14ac:dyDescent="0.25">
      <c r="A13" s="22" t="s">
        <v>21</v>
      </c>
      <c r="B13" s="2"/>
      <c r="C13" s="3">
        <v>0.47</v>
      </c>
      <c r="D13" s="3">
        <v>0.43</v>
      </c>
      <c r="E13" s="3">
        <v>0.13</v>
      </c>
      <c r="F13" s="3"/>
      <c r="G13" s="25">
        <v>2</v>
      </c>
      <c r="H13" s="5"/>
      <c r="I13" s="3"/>
      <c r="J13" s="3">
        <f>C13*E13*D13*G13</f>
        <v>5.2546000000000002E-2</v>
      </c>
      <c r="K13" s="23" t="s">
        <v>22</v>
      </c>
      <c r="M13" s="397"/>
      <c r="N13" s="26"/>
      <c r="O13" s="398"/>
    </row>
    <row r="14" spans="1:15" x14ac:dyDescent="0.25">
      <c r="A14" s="22" t="s">
        <v>23</v>
      </c>
      <c r="B14" s="2"/>
      <c r="C14" s="3">
        <v>0.4</v>
      </c>
      <c r="D14" s="3">
        <v>0.5</v>
      </c>
      <c r="E14" s="3">
        <v>0.4</v>
      </c>
      <c r="F14" s="3"/>
      <c r="G14" s="25">
        <v>2</v>
      </c>
      <c r="H14" s="5"/>
      <c r="I14" s="3"/>
      <c r="J14" s="3">
        <f>C14*E14*D14*G14</f>
        <v>0.16000000000000003</v>
      </c>
      <c r="K14" s="23"/>
      <c r="M14" s="397"/>
      <c r="N14" s="26"/>
      <c r="O14" s="398"/>
    </row>
    <row r="15" spans="1:15" x14ac:dyDescent="0.25">
      <c r="A15" s="12" t="s">
        <v>24</v>
      </c>
      <c r="B15" s="13" t="s">
        <v>1</v>
      </c>
      <c r="C15" s="14"/>
      <c r="D15" s="14"/>
      <c r="E15" s="14"/>
      <c r="F15" s="14"/>
      <c r="G15" s="21">
        <f>SUM(G16)</f>
        <v>4</v>
      </c>
      <c r="H15" s="17"/>
      <c r="I15" s="17"/>
      <c r="J15" s="19">
        <f>SUM(J16)</f>
        <v>2.7040000000000002E-3</v>
      </c>
      <c r="K15" s="20"/>
      <c r="M15" s="410">
        <f>2+2</f>
        <v>4</v>
      </c>
      <c r="N15" s="15">
        <f>M15-G15</f>
        <v>0</v>
      </c>
      <c r="O15" s="400">
        <f>N15/M15</f>
        <v>0</v>
      </c>
    </row>
    <row r="16" spans="1:15" x14ac:dyDescent="0.25">
      <c r="A16" s="22" t="s">
        <v>25</v>
      </c>
      <c r="B16" s="2"/>
      <c r="C16" s="3">
        <v>0.13</v>
      </c>
      <c r="D16" s="3">
        <v>0.13</v>
      </c>
      <c r="E16" s="3">
        <v>0.04</v>
      </c>
      <c r="F16" s="3"/>
      <c r="G16" s="25">
        <v>4</v>
      </c>
      <c r="H16" s="5"/>
      <c r="I16" s="3"/>
      <c r="J16" s="3">
        <f>G16*E16*C16*D16</f>
        <v>2.7040000000000002E-3</v>
      </c>
      <c r="K16" s="23"/>
      <c r="M16" s="397"/>
      <c r="N16" s="26"/>
      <c r="O16" s="398"/>
    </row>
    <row r="17" spans="1:15" x14ac:dyDescent="0.25">
      <c r="A17" s="12" t="s">
        <v>26</v>
      </c>
      <c r="B17" s="13" t="s">
        <v>1</v>
      </c>
      <c r="C17" s="14"/>
      <c r="D17" s="14"/>
      <c r="E17" s="14"/>
      <c r="F17" s="14"/>
      <c r="G17" s="21">
        <f>SUM(G18:G24)</f>
        <v>13</v>
      </c>
      <c r="H17" s="14"/>
      <c r="I17" s="14"/>
      <c r="J17" s="19">
        <f>SUM(J18:J24)</f>
        <v>5.9915999999999997E-2</v>
      </c>
      <c r="K17" s="20"/>
      <c r="M17" s="410">
        <f>3+2+1+1+2+2+2</f>
        <v>13</v>
      </c>
      <c r="N17" s="15">
        <f>M17-G17</f>
        <v>0</v>
      </c>
      <c r="O17" s="400">
        <f>N17/M17</f>
        <v>0</v>
      </c>
    </row>
    <row r="18" spans="1:15" x14ac:dyDescent="0.25">
      <c r="A18" s="22" t="s">
        <v>47</v>
      </c>
      <c r="B18" s="2"/>
      <c r="C18" s="3">
        <v>0.21</v>
      </c>
      <c r="D18" s="3">
        <v>0.17</v>
      </c>
      <c r="E18" s="3">
        <v>0.17</v>
      </c>
      <c r="F18" s="3"/>
      <c r="G18" s="25">
        <v>2</v>
      </c>
      <c r="H18" s="5"/>
      <c r="I18" s="3"/>
      <c r="J18" s="3">
        <f t="shared" ref="J18:J24" si="0">C18*E18*D18*G18</f>
        <v>1.2138000000000001E-2</v>
      </c>
      <c r="K18" s="23"/>
      <c r="M18" s="397"/>
      <c r="N18" s="26" t="s">
        <v>49</v>
      </c>
      <c r="O18" s="398"/>
    </row>
    <row r="19" spans="1:15" x14ac:dyDescent="0.25">
      <c r="A19" s="22" t="s">
        <v>45</v>
      </c>
      <c r="B19" s="2"/>
      <c r="C19" s="3">
        <v>0.1</v>
      </c>
      <c r="D19" s="3">
        <v>0.1</v>
      </c>
      <c r="E19" s="3">
        <v>0.1</v>
      </c>
      <c r="F19" s="3"/>
      <c r="G19" s="25">
        <v>3</v>
      </c>
      <c r="H19" s="5"/>
      <c r="I19" s="3"/>
      <c r="J19" s="3">
        <f t="shared" si="0"/>
        <v>3.0000000000000009E-3</v>
      </c>
      <c r="K19" s="23"/>
      <c r="M19" s="397"/>
      <c r="N19" s="26" t="s">
        <v>49</v>
      </c>
      <c r="O19" s="398"/>
    </row>
    <row r="20" spans="1:15" x14ac:dyDescent="0.25">
      <c r="A20" s="22" t="s">
        <v>46</v>
      </c>
      <c r="B20" s="2"/>
      <c r="C20" s="3">
        <v>0.25</v>
      </c>
      <c r="D20" s="3">
        <v>0.25</v>
      </c>
      <c r="E20" s="3">
        <v>0.25</v>
      </c>
      <c r="F20" s="3"/>
      <c r="G20" s="25">
        <v>2</v>
      </c>
      <c r="H20" s="5"/>
      <c r="I20" s="3"/>
      <c r="J20" s="3">
        <f t="shared" si="0"/>
        <v>3.125E-2</v>
      </c>
      <c r="K20" s="23"/>
      <c r="M20" s="397"/>
      <c r="N20" s="26" t="s">
        <v>49</v>
      </c>
      <c r="O20" s="398"/>
    </row>
    <row r="21" spans="1:15" x14ac:dyDescent="0.25">
      <c r="A21" s="22" t="s">
        <v>48</v>
      </c>
      <c r="B21" s="2"/>
      <c r="C21" s="3">
        <v>0.11</v>
      </c>
      <c r="D21" s="3">
        <v>0.1</v>
      </c>
      <c r="E21" s="3">
        <v>0.05</v>
      </c>
      <c r="F21" s="3"/>
      <c r="G21" s="25">
        <v>2</v>
      </c>
      <c r="H21" s="5"/>
      <c r="I21" s="3"/>
      <c r="J21" s="3">
        <f t="shared" si="0"/>
        <v>1.1000000000000001E-3</v>
      </c>
      <c r="K21" s="23"/>
      <c r="M21" s="397"/>
      <c r="N21" s="26" t="s">
        <v>49</v>
      </c>
      <c r="O21" s="398"/>
    </row>
    <row r="22" spans="1:15" x14ac:dyDescent="0.25">
      <c r="A22" s="22" t="s">
        <v>135</v>
      </c>
      <c r="B22" s="2"/>
      <c r="C22" s="3">
        <v>0.35</v>
      </c>
      <c r="D22" s="3">
        <v>0.27</v>
      </c>
      <c r="E22" s="3">
        <v>4.0000000000000001E-3</v>
      </c>
      <c r="F22" s="3"/>
      <c r="G22" s="25">
        <v>1</v>
      </c>
      <c r="H22" s="5"/>
      <c r="I22" s="3"/>
      <c r="J22" s="3">
        <f t="shared" si="0"/>
        <v>3.7800000000000003E-4</v>
      </c>
      <c r="K22" s="23"/>
      <c r="M22" s="397"/>
      <c r="N22" s="26" t="s">
        <v>49</v>
      </c>
      <c r="O22" s="398"/>
    </row>
    <row r="23" spans="1:15" x14ac:dyDescent="0.25">
      <c r="A23" s="22" t="s">
        <v>135</v>
      </c>
      <c r="B23" s="2"/>
      <c r="C23" s="3">
        <v>0.5</v>
      </c>
      <c r="D23" s="3">
        <v>0.4</v>
      </c>
      <c r="E23" s="3">
        <v>4.0000000000000001E-3</v>
      </c>
      <c r="F23" s="3"/>
      <c r="G23" s="25">
        <v>1</v>
      </c>
      <c r="H23" s="5"/>
      <c r="I23" s="3"/>
      <c r="J23" s="3">
        <f>C23*E23*D23*G23</f>
        <v>8.0000000000000004E-4</v>
      </c>
      <c r="K23" s="23"/>
      <c r="M23" s="397"/>
      <c r="N23" s="26" t="s">
        <v>49</v>
      </c>
      <c r="O23" s="398"/>
    </row>
    <row r="24" spans="1:15" x14ac:dyDescent="0.25">
      <c r="A24" s="22" t="s">
        <v>50</v>
      </c>
      <c r="B24" s="2"/>
      <c r="C24" s="3">
        <v>0.25</v>
      </c>
      <c r="D24" s="3">
        <v>0.15</v>
      </c>
      <c r="E24" s="3">
        <v>0.15</v>
      </c>
      <c r="F24" s="3"/>
      <c r="G24" s="25">
        <v>2</v>
      </c>
      <c r="H24" s="5"/>
      <c r="I24" s="3"/>
      <c r="J24" s="3">
        <f t="shared" si="0"/>
        <v>1.125E-2</v>
      </c>
      <c r="K24" s="23"/>
      <c r="M24" s="397"/>
      <c r="N24" s="26" t="s">
        <v>49</v>
      </c>
      <c r="O24" s="398"/>
    </row>
    <row r="25" spans="1:15" x14ac:dyDescent="0.25">
      <c r="A25" s="12" t="s">
        <v>27</v>
      </c>
      <c r="B25" s="13" t="s">
        <v>51</v>
      </c>
      <c r="C25" s="14"/>
      <c r="D25" s="14"/>
      <c r="E25" s="14"/>
      <c r="F25" s="14"/>
      <c r="G25" s="16"/>
      <c r="H25" s="17"/>
      <c r="I25" s="14"/>
      <c r="J25" s="18">
        <f>SUM(J26:J29)</f>
        <v>0.55679999999999996</v>
      </c>
      <c r="K25" s="20"/>
      <c r="M25" s="410">
        <f>(3.41*0.12)+(1.21*0.1)</f>
        <v>0.5302</v>
      </c>
      <c r="N25" s="15">
        <f>M25-J25</f>
        <v>-2.6599999999999957E-2</v>
      </c>
      <c r="O25" s="400">
        <f>N25/M25</f>
        <v>-5.0169747265182869E-2</v>
      </c>
    </row>
    <row r="26" spans="1:15" x14ac:dyDescent="0.25">
      <c r="A26" s="22" t="s">
        <v>52</v>
      </c>
      <c r="B26" s="2"/>
      <c r="C26" s="26">
        <v>1.55</v>
      </c>
      <c r="D26" s="3">
        <v>2.1</v>
      </c>
      <c r="E26" s="3">
        <v>0.12</v>
      </c>
      <c r="F26" s="3"/>
      <c r="G26" s="24"/>
      <c r="H26" s="5"/>
      <c r="I26" s="3">
        <f>C26*D26</f>
        <v>3.2550000000000003</v>
      </c>
      <c r="J26" s="3">
        <f>I26*E26</f>
        <v>0.3906</v>
      </c>
      <c r="K26" s="23"/>
      <c r="M26" s="397"/>
      <c r="N26" s="26" t="s">
        <v>49</v>
      </c>
      <c r="O26" s="398"/>
    </row>
    <row r="27" spans="1:15" x14ac:dyDescent="0.25">
      <c r="A27" s="22" t="s">
        <v>53</v>
      </c>
      <c r="B27" s="2"/>
      <c r="C27" s="3">
        <v>0.33</v>
      </c>
      <c r="D27" s="3">
        <v>2.1</v>
      </c>
      <c r="E27" s="3">
        <v>0.1</v>
      </c>
      <c r="F27" s="3"/>
      <c r="G27" s="24"/>
      <c r="H27" s="5"/>
      <c r="I27" s="3">
        <f>C27*D27</f>
        <v>0.69300000000000006</v>
      </c>
      <c r="J27" s="3">
        <f>I27*E27</f>
        <v>6.9300000000000014E-2</v>
      </c>
      <c r="K27" s="23"/>
      <c r="M27" s="397"/>
      <c r="N27" s="26" t="s">
        <v>49</v>
      </c>
      <c r="O27" s="398"/>
    </row>
    <row r="28" spans="1:15" x14ac:dyDescent="0.25">
      <c r="A28" s="22" t="s">
        <v>54</v>
      </c>
      <c r="B28" s="2"/>
      <c r="C28" s="3">
        <v>0.23</v>
      </c>
      <c r="D28" s="3">
        <v>2.1</v>
      </c>
      <c r="E28" s="3">
        <v>0.1</v>
      </c>
      <c r="F28" s="3"/>
      <c r="G28" s="25"/>
      <c r="H28" s="5"/>
      <c r="I28" s="3">
        <f>C28*D28</f>
        <v>0.48300000000000004</v>
      </c>
      <c r="J28" s="3">
        <f>I28*E28</f>
        <v>4.830000000000001E-2</v>
      </c>
      <c r="K28" s="23"/>
      <c r="M28" s="397"/>
      <c r="N28" s="26" t="s">
        <v>49</v>
      </c>
      <c r="O28" s="398"/>
    </row>
    <row r="29" spans="1:15" x14ac:dyDescent="0.25">
      <c r="A29" s="22" t="s">
        <v>55</v>
      </c>
      <c r="B29" s="2"/>
      <c r="C29" s="3">
        <f>0.2+0.87+0.21+0.95+0.2</f>
        <v>2.4300000000000002</v>
      </c>
      <c r="D29" s="3">
        <v>0.2</v>
      </c>
      <c r="E29" s="3">
        <v>0.1</v>
      </c>
      <c r="F29" s="3"/>
      <c r="G29" s="24"/>
      <c r="H29" s="5"/>
      <c r="I29" s="3">
        <f>C29*D29</f>
        <v>0.48600000000000004</v>
      </c>
      <c r="J29" s="3">
        <f>I29*E29</f>
        <v>4.8600000000000004E-2</v>
      </c>
      <c r="K29" s="23"/>
      <c r="M29" s="397"/>
      <c r="N29" s="26" t="s">
        <v>49</v>
      </c>
      <c r="O29" s="398"/>
    </row>
    <row r="30" spans="1:15" x14ac:dyDescent="0.25">
      <c r="A30" s="12" t="s">
        <v>136</v>
      </c>
      <c r="B30" s="13" t="s">
        <v>40</v>
      </c>
      <c r="C30" s="14"/>
      <c r="D30" s="14"/>
      <c r="E30" s="14"/>
      <c r="F30" s="14"/>
      <c r="G30" s="16"/>
      <c r="H30" s="17"/>
      <c r="I30" s="18">
        <f>SUM(I31:I32)</f>
        <v>10.698949999999998</v>
      </c>
      <c r="J30" s="19">
        <f>SUM(J31:J32)</f>
        <v>4.2795799999999995E-2</v>
      </c>
      <c r="K30" s="20"/>
      <c r="M30" s="410">
        <v>10.85</v>
      </c>
      <c r="N30" s="15">
        <f>M30-I30</f>
        <v>0.15105000000000146</v>
      </c>
      <c r="O30" s="400">
        <f>N30/M30</f>
        <v>1.3921658986175251E-2</v>
      </c>
    </row>
    <row r="31" spans="1:15" x14ac:dyDescent="0.25">
      <c r="A31" s="22"/>
      <c r="B31" s="2"/>
      <c r="C31" s="26">
        <v>5.3274999999999997</v>
      </c>
      <c r="D31" s="3"/>
      <c r="E31" s="3">
        <v>4.0000000000000001E-3</v>
      </c>
      <c r="F31" s="3">
        <v>2.9</v>
      </c>
      <c r="G31" s="24"/>
      <c r="H31" s="5"/>
      <c r="I31" s="3">
        <f>C31*F31</f>
        <v>15.449749999999998</v>
      </c>
      <c r="J31" s="3">
        <f>I31*E31</f>
        <v>6.1798999999999993E-2</v>
      </c>
      <c r="K31" s="23"/>
      <c r="M31" s="397"/>
      <c r="N31" s="26" t="s">
        <v>49</v>
      </c>
      <c r="O31" s="398"/>
    </row>
    <row r="32" spans="1:15" x14ac:dyDescent="0.25">
      <c r="A32" s="31" t="s">
        <v>60</v>
      </c>
      <c r="B32" s="32"/>
      <c r="C32" s="27">
        <v>0.74</v>
      </c>
      <c r="D32" s="27">
        <v>2.14</v>
      </c>
      <c r="E32" s="27">
        <v>4.0000000000000001E-3</v>
      </c>
      <c r="F32" s="27"/>
      <c r="G32" s="29">
        <v>3</v>
      </c>
      <c r="H32" s="28"/>
      <c r="I32" s="30">
        <f>-C32*D32*G32</f>
        <v>-4.7507999999999999</v>
      </c>
      <c r="J32" s="30">
        <f>I32*E32</f>
        <v>-1.9003200000000001E-2</v>
      </c>
      <c r="K32" s="33"/>
      <c r="M32" s="397"/>
      <c r="N32" s="26"/>
      <c r="O32" s="398"/>
    </row>
    <row r="33" spans="1:15" ht="60" x14ac:dyDescent="0.25">
      <c r="A33" s="12" t="s">
        <v>30</v>
      </c>
      <c r="B33" s="13" t="s">
        <v>40</v>
      </c>
      <c r="C33" s="14"/>
      <c r="D33" s="14"/>
      <c r="E33" s="14"/>
      <c r="F33" s="14"/>
      <c r="G33" s="16"/>
      <c r="H33" s="17"/>
      <c r="I33" s="18">
        <f>SUM(I34:I52)</f>
        <v>25.809425000000001</v>
      </c>
      <c r="J33" s="19">
        <f>SUM(J34:J52)</f>
        <v>0.47854981999999996</v>
      </c>
      <c r="K33" s="1" t="s">
        <v>31</v>
      </c>
      <c r="M33" s="410">
        <v>26.59</v>
      </c>
      <c r="N33" s="15">
        <f>M33-I33</f>
        <v>0.78057499999999891</v>
      </c>
      <c r="O33" s="400">
        <f>N33/M33</f>
        <v>2.9355960887551671E-2</v>
      </c>
    </row>
    <row r="34" spans="1:15" x14ac:dyDescent="0.25">
      <c r="A34" s="49" t="s">
        <v>56</v>
      </c>
      <c r="B34" s="2"/>
      <c r="C34" s="3"/>
      <c r="D34" s="3"/>
      <c r="E34" s="3"/>
      <c r="F34" s="3"/>
      <c r="G34" s="24"/>
      <c r="H34" s="5"/>
      <c r="I34" s="3"/>
      <c r="J34" s="3"/>
      <c r="K34" s="23"/>
      <c r="M34" s="397"/>
      <c r="N34" s="26" t="s">
        <v>49</v>
      </c>
      <c r="O34" s="398"/>
    </row>
    <row r="35" spans="1:15" x14ac:dyDescent="0.25">
      <c r="A35" s="50" t="s">
        <v>57</v>
      </c>
      <c r="B35" s="2"/>
      <c r="C35" s="3"/>
      <c r="D35" s="3"/>
      <c r="E35" s="3"/>
      <c r="F35" s="3"/>
      <c r="G35" s="24"/>
      <c r="H35" s="5"/>
      <c r="I35" s="3"/>
      <c r="J35" s="3"/>
      <c r="K35" s="23"/>
      <c r="M35" s="397"/>
      <c r="N35" s="26" t="s">
        <v>49</v>
      </c>
      <c r="O35" s="398"/>
    </row>
    <row r="36" spans="1:15" x14ac:dyDescent="0.25">
      <c r="A36" s="51" t="s">
        <v>32</v>
      </c>
      <c r="B36" s="2"/>
      <c r="C36" s="3">
        <v>1.5649999999999999</v>
      </c>
      <c r="D36" s="3">
        <v>2.9569999999999999</v>
      </c>
      <c r="E36" s="3">
        <f>0.006+0.01</f>
        <v>1.6E-2</v>
      </c>
      <c r="F36" s="3"/>
      <c r="G36" s="24"/>
      <c r="H36" s="5"/>
      <c r="I36" s="3">
        <f>C36*D36</f>
        <v>4.6277049999999997</v>
      </c>
      <c r="J36" s="3">
        <f t="shared" ref="J36:J41" si="1">I36*E36</f>
        <v>7.4043280000000003E-2</v>
      </c>
      <c r="K36" s="23"/>
      <c r="M36" s="397"/>
      <c r="N36" s="26" t="s">
        <v>49</v>
      </c>
      <c r="O36" s="398"/>
    </row>
    <row r="37" spans="1:15" x14ac:dyDescent="0.25">
      <c r="A37" s="51" t="s">
        <v>29</v>
      </c>
      <c r="B37" s="2"/>
      <c r="C37" s="3"/>
      <c r="D37" s="3"/>
      <c r="E37" s="3"/>
      <c r="F37" s="3"/>
      <c r="G37" s="24"/>
      <c r="H37" s="5"/>
      <c r="I37" s="3">
        <f>C37*D37</f>
        <v>0</v>
      </c>
      <c r="J37" s="3">
        <f t="shared" si="1"/>
        <v>0</v>
      </c>
      <c r="K37" s="23" t="s">
        <v>58</v>
      </c>
      <c r="M37" s="397"/>
      <c r="N37" s="26" t="s">
        <v>49</v>
      </c>
      <c r="O37" s="398"/>
    </row>
    <row r="38" spans="1:15" x14ac:dyDescent="0.25">
      <c r="A38" s="51" t="s">
        <v>18</v>
      </c>
      <c r="B38" s="2"/>
      <c r="C38" s="3">
        <v>1.8</v>
      </c>
      <c r="D38" s="3">
        <v>2.9569999999999999</v>
      </c>
      <c r="E38" s="3">
        <v>0.02</v>
      </c>
      <c r="F38" s="3"/>
      <c r="G38" s="24"/>
      <c r="H38" s="5"/>
      <c r="I38" s="3">
        <f>C38*D38</f>
        <v>5.3225999999999996</v>
      </c>
      <c r="J38" s="3">
        <f t="shared" si="1"/>
        <v>0.10645199999999999</v>
      </c>
      <c r="K38" s="23"/>
      <c r="M38" s="397"/>
      <c r="N38" s="26" t="s">
        <v>49</v>
      </c>
      <c r="O38" s="398"/>
    </row>
    <row r="39" spans="1:15" x14ac:dyDescent="0.25">
      <c r="A39" s="51" t="s">
        <v>19</v>
      </c>
      <c r="B39" s="2"/>
      <c r="C39" s="3">
        <v>1.8</v>
      </c>
      <c r="D39" s="3">
        <v>2.9569999999999999</v>
      </c>
      <c r="E39" s="3">
        <v>0.02</v>
      </c>
      <c r="F39" s="3"/>
      <c r="G39" s="24"/>
      <c r="H39" s="5"/>
      <c r="I39" s="3">
        <f>C39*D39</f>
        <v>5.3225999999999996</v>
      </c>
      <c r="J39" s="3">
        <f t="shared" si="1"/>
        <v>0.10645199999999999</v>
      </c>
      <c r="K39" s="23"/>
      <c r="M39" s="397"/>
      <c r="N39" s="26" t="s">
        <v>49</v>
      </c>
      <c r="O39" s="398"/>
    </row>
    <row r="40" spans="1:15" x14ac:dyDescent="0.25">
      <c r="A40" s="31" t="s">
        <v>60</v>
      </c>
      <c r="B40" s="32"/>
      <c r="C40" s="27">
        <v>0.74</v>
      </c>
      <c r="D40" s="27">
        <v>2.14</v>
      </c>
      <c r="E40" s="27">
        <v>0.02</v>
      </c>
      <c r="F40" s="27"/>
      <c r="G40" s="29">
        <v>1</v>
      </c>
      <c r="H40" s="28"/>
      <c r="I40" s="30">
        <f>-C40*D40*G40</f>
        <v>-1.5836000000000001</v>
      </c>
      <c r="J40" s="30">
        <f t="shared" si="1"/>
        <v>-3.1672000000000006E-2</v>
      </c>
      <c r="K40" s="33"/>
      <c r="M40" s="397"/>
      <c r="N40" s="26" t="s">
        <v>49</v>
      </c>
      <c r="O40" s="398"/>
    </row>
    <row r="41" spans="1:15" x14ac:dyDescent="0.25">
      <c r="A41" s="31" t="s">
        <v>59</v>
      </c>
      <c r="B41" s="32"/>
      <c r="C41" s="27">
        <v>0.33</v>
      </c>
      <c r="D41" s="27">
        <v>2.1</v>
      </c>
      <c r="E41" s="27">
        <v>0.02</v>
      </c>
      <c r="F41" s="27"/>
      <c r="G41" s="29">
        <v>1</v>
      </c>
      <c r="H41" s="28"/>
      <c r="I41" s="30">
        <f>-C41*D41*G41</f>
        <v>-0.69300000000000006</v>
      </c>
      <c r="J41" s="30">
        <f t="shared" si="1"/>
        <v>-1.3860000000000001E-2</v>
      </c>
      <c r="K41" s="33"/>
      <c r="M41" s="397"/>
      <c r="N41" s="26" t="s">
        <v>49</v>
      </c>
      <c r="O41" s="398"/>
    </row>
    <row r="42" spans="1:15" x14ac:dyDescent="0.25">
      <c r="A42" s="50" t="s">
        <v>61</v>
      </c>
      <c r="B42" s="2"/>
      <c r="C42" s="3"/>
      <c r="D42" s="3"/>
      <c r="E42" s="3"/>
      <c r="F42" s="3"/>
      <c r="G42" s="24"/>
      <c r="H42" s="5"/>
      <c r="I42" s="3"/>
      <c r="J42" s="3"/>
      <c r="K42" s="23"/>
      <c r="M42" s="397"/>
      <c r="N42" s="26" t="s">
        <v>49</v>
      </c>
      <c r="O42" s="398"/>
    </row>
    <row r="43" spans="1:15" x14ac:dyDescent="0.25">
      <c r="A43" s="51" t="s">
        <v>32</v>
      </c>
      <c r="B43" s="2"/>
      <c r="C43" s="3"/>
      <c r="D43" s="3"/>
      <c r="E43" s="3"/>
      <c r="F43" s="3"/>
      <c r="G43" s="24"/>
      <c r="H43" s="5"/>
      <c r="I43" s="3"/>
      <c r="J43" s="3"/>
      <c r="K43" s="23" t="s">
        <v>58</v>
      </c>
      <c r="M43" s="397"/>
      <c r="N43" s="26" t="s">
        <v>49</v>
      </c>
      <c r="O43" s="398"/>
    </row>
    <row r="44" spans="1:15" x14ac:dyDescent="0.25">
      <c r="A44" s="51" t="s">
        <v>29</v>
      </c>
      <c r="B44" s="2"/>
      <c r="C44" s="3">
        <v>1.5649999999999999</v>
      </c>
      <c r="D44" s="3">
        <v>2.9569999999999999</v>
      </c>
      <c r="E44" s="3">
        <f>0.006+0.01</f>
        <v>1.6E-2</v>
      </c>
      <c r="F44" s="3"/>
      <c r="G44" s="24"/>
      <c r="H44" s="5"/>
      <c r="I44" s="3">
        <f>C44*D44</f>
        <v>4.6277049999999997</v>
      </c>
      <c r="J44" s="3">
        <f>I44*E44</f>
        <v>7.4043280000000003E-2</v>
      </c>
      <c r="K44" s="23"/>
      <c r="M44" s="397"/>
      <c r="N44" s="26" t="s">
        <v>49</v>
      </c>
      <c r="O44" s="398"/>
    </row>
    <row r="45" spans="1:15" x14ac:dyDescent="0.25">
      <c r="A45" s="31" t="s">
        <v>62</v>
      </c>
      <c r="B45" s="32"/>
      <c r="C45" s="27">
        <v>1.5649999999999999</v>
      </c>
      <c r="D45" s="27">
        <v>0.75700000000000001</v>
      </c>
      <c r="E45" s="27">
        <v>0.02</v>
      </c>
      <c r="F45" s="27"/>
      <c r="G45" s="29">
        <v>1</v>
      </c>
      <c r="H45" s="28"/>
      <c r="I45" s="30">
        <f>-C45*D45*G45</f>
        <v>-1.1847049999999999</v>
      </c>
      <c r="J45" s="30">
        <f>I45*E45</f>
        <v>-2.3694099999999999E-2</v>
      </c>
      <c r="K45" s="33"/>
      <c r="M45" s="397"/>
      <c r="N45" s="26" t="s">
        <v>49</v>
      </c>
      <c r="O45" s="398"/>
    </row>
    <row r="46" spans="1:15" x14ac:dyDescent="0.25">
      <c r="A46" s="51" t="s">
        <v>18</v>
      </c>
      <c r="B46" s="2"/>
      <c r="C46" s="3">
        <v>1.8</v>
      </c>
      <c r="D46" s="3">
        <v>2.9569999999999999</v>
      </c>
      <c r="E46" s="3">
        <v>0.02</v>
      </c>
      <c r="F46" s="3"/>
      <c r="G46" s="24"/>
      <c r="H46" s="5"/>
      <c r="I46" s="3">
        <f>C46*D46</f>
        <v>5.3225999999999996</v>
      </c>
      <c r="J46" s="3">
        <f>I46*E46</f>
        <v>0.10645199999999999</v>
      </c>
      <c r="K46" s="23"/>
      <c r="M46" s="397"/>
      <c r="N46" s="26" t="s">
        <v>49</v>
      </c>
      <c r="O46" s="398"/>
    </row>
    <row r="47" spans="1:15" x14ac:dyDescent="0.25">
      <c r="A47" s="51" t="s">
        <v>19</v>
      </c>
      <c r="B47" s="2"/>
      <c r="C47" s="3">
        <v>1.8</v>
      </c>
      <c r="D47" s="3">
        <v>2.9569999999999999</v>
      </c>
      <c r="E47" s="3">
        <v>0.02</v>
      </c>
      <c r="F47" s="3"/>
      <c r="G47" s="24"/>
      <c r="H47" s="5"/>
      <c r="I47" s="3">
        <f>C47*D47</f>
        <v>5.3225999999999996</v>
      </c>
      <c r="J47" s="3">
        <f>I47*E47</f>
        <v>0.10645199999999999</v>
      </c>
      <c r="K47" s="23"/>
      <c r="M47" s="397"/>
      <c r="N47" s="26" t="s">
        <v>49</v>
      </c>
      <c r="O47" s="398"/>
    </row>
    <row r="48" spans="1:15" x14ac:dyDescent="0.25">
      <c r="A48" s="31" t="s">
        <v>60</v>
      </c>
      <c r="B48" s="32"/>
      <c r="C48" s="27">
        <v>0.74</v>
      </c>
      <c r="D48" s="27">
        <v>2.14</v>
      </c>
      <c r="E48" s="27">
        <v>0.02</v>
      </c>
      <c r="F48" s="27"/>
      <c r="G48" s="29">
        <v>1</v>
      </c>
      <c r="H48" s="28"/>
      <c r="I48" s="30">
        <f>-C48*D48*G48</f>
        <v>-1.5836000000000001</v>
      </c>
      <c r="J48" s="30">
        <f>I48*E48</f>
        <v>-3.1672000000000006E-2</v>
      </c>
      <c r="K48" s="33"/>
      <c r="M48" s="397"/>
      <c r="N48" s="26" t="s">
        <v>49</v>
      </c>
      <c r="O48" s="398"/>
    </row>
    <row r="49" spans="1:15" x14ac:dyDescent="0.25">
      <c r="A49" s="50" t="s">
        <v>63</v>
      </c>
      <c r="B49" s="2"/>
      <c r="C49" s="3"/>
      <c r="D49" s="3"/>
      <c r="E49" s="3"/>
      <c r="F49" s="3"/>
      <c r="G49" s="24"/>
      <c r="H49" s="5"/>
      <c r="I49" s="3"/>
      <c r="J49" s="3"/>
      <c r="K49" s="23"/>
      <c r="M49" s="397"/>
      <c r="N49" s="26" t="s">
        <v>49</v>
      </c>
      <c r="O49" s="398"/>
    </row>
    <row r="50" spans="1:15" x14ac:dyDescent="0.25">
      <c r="A50" s="51" t="s">
        <v>19</v>
      </c>
      <c r="B50" s="2"/>
      <c r="C50" s="3">
        <v>0.18</v>
      </c>
      <c r="D50" s="3">
        <f>2.957-2.1</f>
        <v>0.85699999999999976</v>
      </c>
      <c r="E50" s="3">
        <v>0.02</v>
      </c>
      <c r="F50" s="3"/>
      <c r="G50" s="24"/>
      <c r="H50" s="5"/>
      <c r="I50" s="3">
        <f>C50*D50</f>
        <v>0.15425999999999995</v>
      </c>
      <c r="J50" s="3">
        <f>I50*E50</f>
        <v>3.0851999999999993E-3</v>
      </c>
      <c r="K50" s="23"/>
      <c r="M50" s="397"/>
      <c r="N50" s="26" t="s">
        <v>49</v>
      </c>
      <c r="O50" s="398"/>
    </row>
    <row r="51" spans="1:15" x14ac:dyDescent="0.25">
      <c r="A51" s="51" t="s">
        <v>18</v>
      </c>
      <c r="B51" s="2"/>
      <c r="C51" s="3">
        <v>0.18</v>
      </c>
      <c r="D51" s="3">
        <f>2.957-2.1</f>
        <v>0.85699999999999976</v>
      </c>
      <c r="E51" s="3">
        <f>0.006+0.01</f>
        <v>1.6E-2</v>
      </c>
      <c r="F51" s="3"/>
      <c r="G51" s="24"/>
      <c r="H51" s="5"/>
      <c r="I51" s="3">
        <f>C51*D51</f>
        <v>0.15425999999999995</v>
      </c>
      <c r="J51" s="3">
        <f>I51*E51</f>
        <v>2.4681599999999992E-3</v>
      </c>
      <c r="K51" s="23"/>
      <c r="M51" s="397"/>
      <c r="N51" s="26" t="s">
        <v>49</v>
      </c>
      <c r="O51" s="398"/>
    </row>
    <row r="52" spans="1:15" x14ac:dyDescent="0.25">
      <c r="A52" s="49" t="s">
        <v>64</v>
      </c>
      <c r="B52" s="2"/>
      <c r="C52" s="3"/>
      <c r="D52" s="3"/>
      <c r="E52" s="3"/>
      <c r="F52" s="3"/>
      <c r="G52" s="24"/>
      <c r="H52" s="5"/>
      <c r="I52" s="3"/>
      <c r="J52" s="3"/>
      <c r="K52" s="23"/>
      <c r="M52" s="397"/>
      <c r="N52" s="26" t="s">
        <v>49</v>
      </c>
      <c r="O52" s="398"/>
    </row>
    <row r="53" spans="1:15" ht="30" x14ac:dyDescent="0.25">
      <c r="A53" s="12" t="s">
        <v>34</v>
      </c>
      <c r="B53" s="13" t="s">
        <v>40</v>
      </c>
      <c r="C53" s="14"/>
      <c r="D53" s="14"/>
      <c r="E53" s="14"/>
      <c r="F53" s="14"/>
      <c r="G53" s="16"/>
      <c r="H53" s="17"/>
      <c r="I53" s="18">
        <f>I54</f>
        <v>5.8968000000000007</v>
      </c>
      <c r="J53" s="19">
        <f>J54</f>
        <v>0.29484000000000005</v>
      </c>
      <c r="K53" s="1" t="s">
        <v>65</v>
      </c>
      <c r="M53" s="410">
        <v>6.05</v>
      </c>
      <c r="N53" s="15">
        <f>M53-I53</f>
        <v>0.15319999999999911</v>
      </c>
      <c r="O53" s="400">
        <f>N53/M53</f>
        <v>2.5322314049586632E-2</v>
      </c>
    </row>
    <row r="54" spans="1:15" x14ac:dyDescent="0.25">
      <c r="A54" s="22" t="s">
        <v>33</v>
      </c>
      <c r="B54" s="2"/>
      <c r="C54" s="3">
        <f>1.8+0.18+1.8</f>
        <v>3.7800000000000002</v>
      </c>
      <c r="D54" s="3">
        <v>1.56</v>
      </c>
      <c r="E54" s="3">
        <v>0.05</v>
      </c>
      <c r="F54" s="3"/>
      <c r="G54" s="24"/>
      <c r="H54" s="5"/>
      <c r="I54" s="3">
        <f>(C54*D54)</f>
        <v>5.8968000000000007</v>
      </c>
      <c r="J54" s="3">
        <f>I54*E54</f>
        <v>0.29484000000000005</v>
      </c>
      <c r="K54" s="23"/>
      <c r="M54" s="397"/>
      <c r="N54" s="26" t="s">
        <v>49</v>
      </c>
      <c r="O54" s="398"/>
    </row>
    <row r="55" spans="1:15" x14ac:dyDescent="0.25">
      <c r="A55" s="12" t="s">
        <v>35</v>
      </c>
      <c r="B55" s="13" t="s">
        <v>36</v>
      </c>
      <c r="C55" s="14"/>
      <c r="D55" s="14"/>
      <c r="E55" s="14"/>
      <c r="F55" s="14"/>
      <c r="G55" s="16"/>
      <c r="H55" s="18">
        <f>SUM(H56:H56)</f>
        <v>1.48</v>
      </c>
      <c r="I55" s="34">
        <f>SUM(I56:I56)</f>
        <v>0.222</v>
      </c>
      <c r="J55" s="19">
        <f>SUM(J56:J56)</f>
        <v>4.4400000000000004E-3</v>
      </c>
      <c r="K55" s="20"/>
      <c r="M55" s="410">
        <f>0.22/0.15</f>
        <v>1.4666666666666668</v>
      </c>
      <c r="N55" s="15">
        <f>M55-H55</f>
        <v>-1.3333333333333197E-2</v>
      </c>
      <c r="O55" s="400">
        <f>N55/M55</f>
        <v>-9.0909090909089968E-3</v>
      </c>
    </row>
    <row r="56" spans="1:15" x14ac:dyDescent="0.25">
      <c r="A56" s="22" t="s">
        <v>67</v>
      </c>
      <c r="B56" s="2"/>
      <c r="C56" s="3">
        <v>0.74</v>
      </c>
      <c r="D56" s="3">
        <v>0.15</v>
      </c>
      <c r="E56" s="3">
        <v>0.02</v>
      </c>
      <c r="F56" s="3"/>
      <c r="G56" s="25">
        <v>2</v>
      </c>
      <c r="H56" s="3">
        <f>G56*C56</f>
        <v>1.48</v>
      </c>
      <c r="I56" s="3">
        <f>H56*D56</f>
        <v>0.222</v>
      </c>
      <c r="J56" s="3">
        <f>I56*E56</f>
        <v>4.4400000000000004E-3</v>
      </c>
      <c r="K56" s="23"/>
      <c r="M56" s="397"/>
      <c r="N56" s="26" t="s">
        <v>49</v>
      </c>
      <c r="O56" s="398"/>
    </row>
    <row r="57" spans="1:15" x14ac:dyDescent="0.25">
      <c r="A57" s="12" t="s">
        <v>68</v>
      </c>
      <c r="B57" s="13" t="s">
        <v>36</v>
      </c>
      <c r="C57" s="14"/>
      <c r="D57" s="14"/>
      <c r="E57" s="14"/>
      <c r="F57" s="14"/>
      <c r="G57" s="16"/>
      <c r="H57" s="18">
        <f>SUM(H58:H59)</f>
        <v>0.57200000000000006</v>
      </c>
      <c r="I57" s="34">
        <f>SUM(I58:I59)</f>
        <v>2.86E-2</v>
      </c>
      <c r="J57" s="19">
        <f>SUM(J58:J59)</f>
        <v>5.7200000000000003E-4</v>
      </c>
      <c r="K57" s="20"/>
      <c r="M57" s="410">
        <v>0.03</v>
      </c>
      <c r="N57" s="15">
        <f>M57-I57</f>
        <v>1.3999999999999985E-3</v>
      </c>
      <c r="O57" s="400">
        <f>N57/M57</f>
        <v>4.666666666666662E-2</v>
      </c>
    </row>
    <row r="58" spans="1:15" x14ac:dyDescent="0.25">
      <c r="A58" s="22" t="s">
        <v>28</v>
      </c>
      <c r="B58" s="2"/>
      <c r="C58" s="3">
        <v>0.33200000000000002</v>
      </c>
      <c r="D58" s="26">
        <v>0.05</v>
      </c>
      <c r="E58" s="3">
        <v>0.02</v>
      </c>
      <c r="F58" s="3"/>
      <c r="G58" s="25">
        <v>1</v>
      </c>
      <c r="H58" s="3">
        <f>G58*C58</f>
        <v>0.33200000000000002</v>
      </c>
      <c r="I58" s="26">
        <f>H58*D58</f>
        <v>1.66E-2</v>
      </c>
      <c r="J58" s="3">
        <f t="shared" ref="H58:J59" si="2">I58*E58</f>
        <v>3.3199999999999999E-4</v>
      </c>
      <c r="K58" s="23"/>
      <c r="M58" s="397"/>
      <c r="N58" s="26" t="s">
        <v>49</v>
      </c>
      <c r="O58" s="398"/>
    </row>
    <row r="59" spans="1:15" x14ac:dyDescent="0.25">
      <c r="A59" s="22" t="s">
        <v>28</v>
      </c>
      <c r="B59" s="2"/>
      <c r="C59" s="3">
        <v>0.24</v>
      </c>
      <c r="D59" s="26">
        <v>0.05</v>
      </c>
      <c r="E59" s="3">
        <v>0.02</v>
      </c>
      <c r="F59" s="3"/>
      <c r="G59" s="25">
        <v>1</v>
      </c>
      <c r="H59" s="3">
        <f t="shared" si="2"/>
        <v>0.24</v>
      </c>
      <c r="I59" s="26">
        <f t="shared" si="2"/>
        <v>1.2E-2</v>
      </c>
      <c r="J59" s="3">
        <f t="shared" si="2"/>
        <v>2.4000000000000001E-4</v>
      </c>
      <c r="K59" s="23"/>
      <c r="M59" s="397"/>
      <c r="N59" s="26" t="s">
        <v>49</v>
      </c>
      <c r="O59" s="398"/>
    </row>
    <row r="60" spans="1:15" x14ac:dyDescent="0.25">
      <c r="A60" s="35" t="s">
        <v>37</v>
      </c>
      <c r="B60" s="36" t="s">
        <v>51</v>
      </c>
      <c r="C60" s="37"/>
      <c r="D60" s="424">
        <v>0.3</v>
      </c>
      <c r="E60" s="425" t="s">
        <v>270</v>
      </c>
      <c r="F60" s="37"/>
      <c r="G60" s="38"/>
      <c r="H60" s="39"/>
      <c r="I60" s="37"/>
      <c r="J60" s="40">
        <f>SUM(J3,J4,J7,J11,J12,J15,J17,J25,J30,J33,J53,J55,J57)*(1+D60)</f>
        <v>2.9724079060000004</v>
      </c>
      <c r="K60" s="41"/>
      <c r="M60" s="410"/>
      <c r="N60" s="15"/>
      <c r="O60" s="400"/>
    </row>
    <row r="61" spans="1:15" ht="15.75" thickBot="1" x14ac:dyDescent="0.3">
      <c r="A61" s="42" t="s">
        <v>38</v>
      </c>
      <c r="B61" s="43" t="s">
        <v>66</v>
      </c>
      <c r="C61" s="44"/>
      <c r="D61" s="44">
        <v>14.1</v>
      </c>
      <c r="E61" s="426" t="s">
        <v>271</v>
      </c>
      <c r="F61" s="44"/>
      <c r="G61" s="45"/>
      <c r="H61" s="46"/>
      <c r="I61" s="46"/>
      <c r="J61" s="390">
        <f>J60*D61</f>
        <v>41.910951474600004</v>
      </c>
      <c r="K61" s="47"/>
      <c r="M61" s="413"/>
      <c r="N61" s="414"/>
      <c r="O61" s="406"/>
    </row>
    <row r="62" spans="1:15" ht="15.75" thickBot="1" x14ac:dyDescent="0.3"/>
    <row r="63" spans="1:15" ht="15.75" thickBot="1" x14ac:dyDescent="0.3">
      <c r="A63" s="53" t="s">
        <v>69</v>
      </c>
      <c r="B63" s="54"/>
      <c r="C63" s="55" t="s">
        <v>2</v>
      </c>
      <c r="D63" s="55" t="s">
        <v>3</v>
      </c>
      <c r="E63" s="55" t="s">
        <v>4</v>
      </c>
      <c r="F63" s="55" t="s">
        <v>5</v>
      </c>
      <c r="G63" s="56" t="s">
        <v>1</v>
      </c>
      <c r="H63" s="55" t="s">
        <v>6</v>
      </c>
      <c r="I63" s="55" t="s">
        <v>7</v>
      </c>
      <c r="J63" s="55" t="s">
        <v>8</v>
      </c>
      <c r="K63" s="57" t="s">
        <v>9</v>
      </c>
    </row>
    <row r="64" spans="1:15" x14ac:dyDescent="0.25">
      <c r="A64" s="58" t="s">
        <v>72</v>
      </c>
      <c r="B64" s="59" t="s">
        <v>40</v>
      </c>
      <c r="C64" s="60"/>
      <c r="D64" s="60"/>
      <c r="E64" s="60"/>
      <c r="F64" s="60"/>
      <c r="G64" s="61"/>
      <c r="H64" s="60"/>
      <c r="I64" s="62">
        <f>SUM(I65:I66)</f>
        <v>5.1155999999999997</v>
      </c>
      <c r="J64" s="72"/>
      <c r="K64" s="1"/>
      <c r="M64" s="408">
        <f>0.5+4.88</f>
        <v>5.38</v>
      </c>
      <c r="N64" s="409">
        <f>M64-I64</f>
        <v>0.26440000000000019</v>
      </c>
      <c r="O64" s="396">
        <f>N64/M64</f>
        <v>4.9144981412639441E-2</v>
      </c>
    </row>
    <row r="65" spans="1:15" x14ac:dyDescent="0.25">
      <c r="A65" s="63" t="s">
        <v>71</v>
      </c>
      <c r="B65" s="64"/>
      <c r="C65" s="65">
        <v>1.56</v>
      </c>
      <c r="D65" s="65"/>
      <c r="E65" s="65"/>
      <c r="F65" s="65">
        <v>3.01</v>
      </c>
      <c r="G65" s="66"/>
      <c r="H65" s="65"/>
      <c r="I65" s="65">
        <f>(C65*F65)</f>
        <v>4.6955999999999998</v>
      </c>
      <c r="J65" s="73"/>
      <c r="K65" s="67" t="s">
        <v>75</v>
      </c>
      <c r="M65" s="397"/>
      <c r="N65" s="26" t="s">
        <v>49</v>
      </c>
      <c r="O65" s="398"/>
    </row>
    <row r="66" spans="1:15" x14ac:dyDescent="0.25">
      <c r="A66" s="63" t="s">
        <v>73</v>
      </c>
      <c r="B66" s="64"/>
      <c r="C66" s="65">
        <v>0.2</v>
      </c>
      <c r="D66" s="65"/>
      <c r="E66" s="65"/>
      <c r="F66" s="65">
        <v>2.1</v>
      </c>
      <c r="G66" s="66"/>
      <c r="H66" s="65"/>
      <c r="I66" s="65">
        <f>(C66*F66)</f>
        <v>0.42000000000000004</v>
      </c>
      <c r="J66" s="73"/>
      <c r="K66" s="67" t="s">
        <v>76</v>
      </c>
      <c r="M66" s="397"/>
      <c r="N66" s="26" t="s">
        <v>49</v>
      </c>
      <c r="O66" s="398"/>
    </row>
    <row r="67" spans="1:15" x14ac:dyDescent="0.25">
      <c r="A67" s="58" t="s">
        <v>78</v>
      </c>
      <c r="B67" s="59" t="s">
        <v>36</v>
      </c>
      <c r="C67" s="82"/>
      <c r="D67" s="82"/>
      <c r="E67" s="82"/>
      <c r="F67" s="82"/>
      <c r="G67" s="61"/>
      <c r="H67" s="62">
        <f>SUM(H68:H68)</f>
        <v>2.4300000000000002</v>
      </c>
      <c r="I67" s="72"/>
      <c r="J67" s="72"/>
      <c r="K67" s="1"/>
      <c r="M67" s="410">
        <v>2.4300000000000002</v>
      </c>
      <c r="N67" s="15">
        <f>M67-H67</f>
        <v>0</v>
      </c>
      <c r="O67" s="400">
        <f>N67/M67</f>
        <v>0</v>
      </c>
    </row>
    <row r="68" spans="1:15" ht="15.75" thickBot="1" x14ac:dyDescent="0.3">
      <c r="A68" s="84" t="s">
        <v>77</v>
      </c>
      <c r="B68" s="85"/>
      <c r="C68" s="91">
        <f>0.2+0.87+0.21+0.95+0.2</f>
        <v>2.4300000000000002</v>
      </c>
      <c r="D68" s="87"/>
      <c r="E68" s="86"/>
      <c r="F68" s="86">
        <v>0.2</v>
      </c>
      <c r="G68" s="88">
        <v>1</v>
      </c>
      <c r="H68" s="86">
        <f>G68*C68</f>
        <v>2.4300000000000002</v>
      </c>
      <c r="I68" s="86">
        <f>H68*F68</f>
        <v>0.48600000000000004</v>
      </c>
      <c r="J68" s="89"/>
      <c r="K68" s="90" t="s">
        <v>74</v>
      </c>
      <c r="M68" s="401"/>
      <c r="N68" s="402" t="s">
        <v>49</v>
      </c>
      <c r="O68" s="403"/>
    </row>
    <row r="69" spans="1:15" ht="15.75" thickBot="1" x14ac:dyDescent="0.3"/>
    <row r="70" spans="1:15" ht="15.75" thickBot="1" x14ac:dyDescent="0.3">
      <c r="A70" s="53" t="s">
        <v>94</v>
      </c>
      <c r="B70" s="54"/>
      <c r="C70" s="55" t="s">
        <v>2</v>
      </c>
      <c r="D70" s="55" t="s">
        <v>3</v>
      </c>
      <c r="E70" s="55" t="s">
        <v>4</v>
      </c>
      <c r="F70" s="55" t="s">
        <v>5</v>
      </c>
      <c r="G70" s="56" t="s">
        <v>1</v>
      </c>
      <c r="H70" s="55" t="s">
        <v>6</v>
      </c>
      <c r="I70" s="55" t="s">
        <v>7</v>
      </c>
      <c r="J70" s="55" t="s">
        <v>8</v>
      </c>
      <c r="K70" s="57" t="s">
        <v>9</v>
      </c>
    </row>
    <row r="71" spans="1:15" x14ac:dyDescent="0.25">
      <c r="A71" s="92" t="s">
        <v>79</v>
      </c>
      <c r="B71" s="93" t="s">
        <v>40</v>
      </c>
      <c r="C71" s="94"/>
      <c r="D71" s="94"/>
      <c r="E71" s="94"/>
      <c r="F71" s="94"/>
      <c r="G71" s="95"/>
      <c r="H71" s="94"/>
      <c r="I71" s="96">
        <f>SUM(I72:I76)</f>
        <v>10.7104</v>
      </c>
      <c r="J71" s="97"/>
      <c r="K71" s="98" t="s">
        <v>86</v>
      </c>
      <c r="M71" s="408">
        <f>9.66+0.49</f>
        <v>10.15</v>
      </c>
      <c r="N71" s="409">
        <f>M71-I71</f>
        <v>-0.56039999999999957</v>
      </c>
      <c r="O71" s="396">
        <f>N71/M71</f>
        <v>-5.5211822660098477E-2</v>
      </c>
    </row>
    <row r="72" spans="1:15" x14ac:dyDescent="0.25">
      <c r="A72" s="63" t="s">
        <v>71</v>
      </c>
      <c r="B72" s="64"/>
      <c r="C72" s="65">
        <v>1.56</v>
      </c>
      <c r="D72" s="65"/>
      <c r="E72" s="65"/>
      <c r="F72" s="65">
        <v>2.97</v>
      </c>
      <c r="G72" s="81">
        <v>2</v>
      </c>
      <c r="H72" s="65"/>
      <c r="I72" s="65">
        <f>(C72*F72)*G72</f>
        <v>9.2664000000000009</v>
      </c>
      <c r="J72" s="73"/>
      <c r="K72" s="67" t="s">
        <v>75</v>
      </c>
      <c r="M72" s="397"/>
      <c r="N72" s="26" t="s">
        <v>49</v>
      </c>
      <c r="O72" s="398"/>
    </row>
    <row r="73" spans="1:15" x14ac:dyDescent="0.25">
      <c r="A73" s="63" t="s">
        <v>73</v>
      </c>
      <c r="B73" s="64"/>
      <c r="C73" s="65">
        <v>0.2</v>
      </c>
      <c r="D73" s="65"/>
      <c r="E73" s="65"/>
      <c r="F73" s="65">
        <v>2.1</v>
      </c>
      <c r="G73" s="81">
        <v>2</v>
      </c>
      <c r="H73" s="65"/>
      <c r="I73" s="65">
        <f>(C73*F73)*G73</f>
        <v>0.84000000000000008</v>
      </c>
      <c r="J73" s="73"/>
      <c r="K73" s="67" t="s">
        <v>76</v>
      </c>
      <c r="M73" s="397"/>
      <c r="N73" s="26" t="s">
        <v>49</v>
      </c>
      <c r="O73" s="398"/>
    </row>
    <row r="74" spans="1:15" x14ac:dyDescent="0.25">
      <c r="A74" s="78" t="s">
        <v>87</v>
      </c>
      <c r="B74" s="79"/>
      <c r="C74" s="68">
        <v>0.16</v>
      </c>
      <c r="D74" s="69"/>
      <c r="E74" s="69"/>
      <c r="F74" s="68">
        <v>2.1</v>
      </c>
      <c r="G74" s="80">
        <v>1</v>
      </c>
      <c r="H74" s="69"/>
      <c r="I74" s="70">
        <f>C74*F74*G74*-1</f>
        <v>-0.33600000000000002</v>
      </c>
      <c r="J74" s="69"/>
      <c r="K74" s="71"/>
      <c r="M74" s="397"/>
      <c r="N74" s="26" t="s">
        <v>49</v>
      </c>
      <c r="O74" s="398"/>
    </row>
    <row r="75" spans="1:15" x14ac:dyDescent="0.25">
      <c r="A75" s="63" t="s">
        <v>88</v>
      </c>
      <c r="B75" s="64"/>
      <c r="C75" s="65">
        <v>2.4300000000000002</v>
      </c>
      <c r="D75" s="65"/>
      <c r="E75" s="65"/>
      <c r="F75" s="65">
        <v>0.2</v>
      </c>
      <c r="G75" s="81">
        <v>2</v>
      </c>
      <c r="H75" s="65"/>
      <c r="I75" s="65">
        <f>(C75*F75)*G75</f>
        <v>0.97200000000000009</v>
      </c>
      <c r="J75" s="73"/>
      <c r="K75" s="67" t="s">
        <v>76</v>
      </c>
      <c r="M75" s="397"/>
      <c r="N75" s="26" t="s">
        <v>49</v>
      </c>
      <c r="O75" s="398"/>
    </row>
    <row r="76" spans="1:15" x14ac:dyDescent="0.25">
      <c r="A76" s="78" t="s">
        <v>87</v>
      </c>
      <c r="B76" s="79"/>
      <c r="C76" s="68">
        <v>0.16</v>
      </c>
      <c r="D76" s="69"/>
      <c r="E76" s="69"/>
      <c r="F76" s="68">
        <v>0.2</v>
      </c>
      <c r="G76" s="80">
        <v>1</v>
      </c>
      <c r="H76" s="69"/>
      <c r="I76" s="116">
        <f>C76*F76*G76*-1</f>
        <v>-3.2000000000000001E-2</v>
      </c>
      <c r="J76" s="69"/>
      <c r="K76" s="71"/>
      <c r="M76" s="397"/>
      <c r="N76" s="26" t="s">
        <v>49</v>
      </c>
      <c r="O76" s="398"/>
    </row>
    <row r="77" spans="1:15" ht="45" x14ac:dyDescent="0.25">
      <c r="A77" s="104" t="s">
        <v>82</v>
      </c>
      <c r="B77" s="105" t="s">
        <v>40</v>
      </c>
      <c r="C77" s="60"/>
      <c r="D77" s="60"/>
      <c r="E77" s="60"/>
      <c r="F77" s="60"/>
      <c r="G77" s="61"/>
      <c r="H77" s="60"/>
      <c r="I77" s="117">
        <f>SUM(I78:I93)</f>
        <v>37.893895000000001</v>
      </c>
      <c r="J77" s="72"/>
      <c r="K77" s="1" t="s">
        <v>83</v>
      </c>
      <c r="M77" s="410">
        <v>36.04</v>
      </c>
      <c r="N77" s="15">
        <f>M77-I77</f>
        <v>-1.8538950000000014</v>
      </c>
      <c r="O77" s="400">
        <f>N77/M77</f>
        <v>-5.143992785793567E-2</v>
      </c>
    </row>
    <row r="78" spans="1:15" x14ac:dyDescent="0.25">
      <c r="A78" s="118" t="s">
        <v>90</v>
      </c>
      <c r="B78" s="74"/>
      <c r="C78" s="75"/>
      <c r="D78" s="75"/>
      <c r="E78" s="75"/>
      <c r="F78" s="75"/>
      <c r="G78" s="66"/>
      <c r="H78" s="75"/>
      <c r="I78" s="65"/>
      <c r="J78" s="73"/>
      <c r="K78" s="67"/>
      <c r="M78" s="397"/>
      <c r="N78" s="26" t="s">
        <v>49</v>
      </c>
      <c r="O78" s="398"/>
    </row>
    <row r="79" spans="1:15" x14ac:dyDescent="0.25">
      <c r="A79" s="100" t="s">
        <v>32</v>
      </c>
      <c r="B79" s="64"/>
      <c r="C79" s="65">
        <v>1.56</v>
      </c>
      <c r="D79" s="65">
        <v>3</v>
      </c>
      <c r="E79" s="65"/>
      <c r="F79" s="65"/>
      <c r="G79" s="66"/>
      <c r="H79" s="65"/>
      <c r="I79" s="65">
        <f>C79*D79</f>
        <v>4.68</v>
      </c>
      <c r="J79" s="73"/>
      <c r="K79" s="67"/>
      <c r="M79" s="397"/>
      <c r="N79" s="26" t="s">
        <v>49</v>
      </c>
      <c r="O79" s="398"/>
    </row>
    <row r="80" spans="1:15" x14ac:dyDescent="0.25">
      <c r="A80" s="100" t="s">
        <v>29</v>
      </c>
      <c r="B80" s="64"/>
      <c r="C80" s="65">
        <v>1.56</v>
      </c>
      <c r="D80" s="65">
        <v>3</v>
      </c>
      <c r="E80" s="65"/>
      <c r="F80" s="65"/>
      <c r="G80" s="66"/>
      <c r="H80" s="65"/>
      <c r="I80" s="65">
        <f>C80*D80</f>
        <v>4.68</v>
      </c>
      <c r="J80" s="73"/>
      <c r="K80" s="67"/>
      <c r="M80" s="397"/>
      <c r="N80" s="26" t="s">
        <v>49</v>
      </c>
      <c r="O80" s="398"/>
    </row>
    <row r="81" spans="1:15" x14ac:dyDescent="0.25">
      <c r="A81" s="100" t="s">
        <v>18</v>
      </c>
      <c r="B81" s="64"/>
      <c r="C81" s="65">
        <v>1.63</v>
      </c>
      <c r="D81" s="65">
        <v>3</v>
      </c>
      <c r="E81" s="65"/>
      <c r="F81" s="65"/>
      <c r="G81" s="66"/>
      <c r="H81" s="65"/>
      <c r="I81" s="65">
        <f>C81*D81</f>
        <v>4.8899999999999997</v>
      </c>
      <c r="J81" s="73"/>
      <c r="K81" s="67"/>
      <c r="M81" s="397"/>
      <c r="N81" s="26" t="s">
        <v>49</v>
      </c>
      <c r="O81" s="398"/>
    </row>
    <row r="82" spans="1:15" x14ac:dyDescent="0.25">
      <c r="A82" s="100" t="s">
        <v>19</v>
      </c>
      <c r="B82" s="64"/>
      <c r="C82" s="65">
        <v>1.63</v>
      </c>
      <c r="D82" s="65">
        <v>3</v>
      </c>
      <c r="E82" s="65"/>
      <c r="F82" s="65"/>
      <c r="G82" s="66"/>
      <c r="H82" s="65"/>
      <c r="I82" s="65">
        <f>C82*D82</f>
        <v>4.8899999999999997</v>
      </c>
      <c r="J82" s="73"/>
      <c r="K82" s="67"/>
      <c r="M82" s="397"/>
      <c r="N82" s="26" t="s">
        <v>49</v>
      </c>
      <c r="O82" s="398"/>
    </row>
    <row r="83" spans="1:15" x14ac:dyDescent="0.25">
      <c r="A83" s="78" t="s">
        <v>89</v>
      </c>
      <c r="B83" s="79"/>
      <c r="C83" s="68">
        <v>0.84</v>
      </c>
      <c r="D83" s="69">
        <v>2.14</v>
      </c>
      <c r="E83" s="69"/>
      <c r="F83" s="69"/>
      <c r="G83" s="80">
        <v>1</v>
      </c>
      <c r="H83" s="69"/>
      <c r="I83" s="70">
        <f>C83*D83*G83*-1</f>
        <v>-1.7976000000000001</v>
      </c>
      <c r="J83" s="69"/>
      <c r="K83" s="71"/>
      <c r="M83" s="397"/>
      <c r="N83" s="26" t="s">
        <v>49</v>
      </c>
      <c r="O83" s="398"/>
    </row>
    <row r="84" spans="1:15" x14ac:dyDescent="0.25">
      <c r="A84" s="63" t="s">
        <v>91</v>
      </c>
      <c r="B84" s="74"/>
      <c r="C84" s="106">
        <v>0.84</v>
      </c>
      <c r="D84" s="107">
        <v>2.14</v>
      </c>
      <c r="E84" s="106">
        <v>0.17</v>
      </c>
      <c r="F84" s="106"/>
      <c r="G84" s="102">
        <v>1</v>
      </c>
      <c r="H84" s="106">
        <f>G84*(D84+C84+D84)</f>
        <v>5.12</v>
      </c>
      <c r="I84" s="101">
        <f>H84*E84</f>
        <v>0.87040000000000006</v>
      </c>
      <c r="J84" s="108"/>
      <c r="K84" s="103"/>
      <c r="M84" s="397"/>
      <c r="N84" s="26" t="s">
        <v>49</v>
      </c>
      <c r="O84" s="398"/>
    </row>
    <row r="85" spans="1:15" x14ac:dyDescent="0.25">
      <c r="A85" s="118" t="s">
        <v>92</v>
      </c>
      <c r="B85" s="74"/>
      <c r="C85" s="75"/>
      <c r="D85" s="75"/>
      <c r="E85" s="75"/>
      <c r="F85" s="75"/>
      <c r="G85" s="66"/>
      <c r="H85" s="75"/>
      <c r="I85" s="65"/>
      <c r="J85" s="73"/>
      <c r="K85" s="67"/>
      <c r="M85" s="397"/>
      <c r="N85" s="26" t="s">
        <v>49</v>
      </c>
      <c r="O85" s="398"/>
    </row>
    <row r="86" spans="1:15" x14ac:dyDescent="0.25">
      <c r="A86" s="100" t="s">
        <v>32</v>
      </c>
      <c r="B86" s="64"/>
      <c r="C86" s="65">
        <v>1.56</v>
      </c>
      <c r="D86" s="65">
        <v>3</v>
      </c>
      <c r="E86" s="65"/>
      <c r="F86" s="65"/>
      <c r="G86" s="66"/>
      <c r="H86" s="65"/>
      <c r="I86" s="65">
        <f>C86*D86</f>
        <v>4.68</v>
      </c>
      <c r="J86" s="73"/>
      <c r="K86" s="67"/>
      <c r="M86" s="397"/>
      <c r="N86" s="26" t="s">
        <v>49</v>
      </c>
      <c r="O86" s="398"/>
    </row>
    <row r="87" spans="1:15" x14ac:dyDescent="0.25">
      <c r="A87" s="100" t="s">
        <v>29</v>
      </c>
      <c r="B87" s="64"/>
      <c r="C87" s="65">
        <v>1.56</v>
      </c>
      <c r="D87" s="65">
        <v>3</v>
      </c>
      <c r="E87" s="65"/>
      <c r="F87" s="65"/>
      <c r="G87" s="66"/>
      <c r="H87" s="65"/>
      <c r="I87" s="65">
        <f>C87*D87</f>
        <v>4.68</v>
      </c>
      <c r="J87" s="73"/>
      <c r="K87" s="67"/>
      <c r="M87" s="397"/>
      <c r="N87" s="26" t="s">
        <v>49</v>
      </c>
      <c r="O87" s="398"/>
    </row>
    <row r="88" spans="1:15" x14ac:dyDescent="0.25">
      <c r="A88" s="31" t="s">
        <v>62</v>
      </c>
      <c r="B88" s="32"/>
      <c r="C88" s="27">
        <v>1.5649999999999999</v>
      </c>
      <c r="D88" s="27">
        <v>0.75700000000000001</v>
      </c>
      <c r="E88" s="69"/>
      <c r="F88" s="69"/>
      <c r="G88" s="80">
        <v>1</v>
      </c>
      <c r="H88" s="69"/>
      <c r="I88" s="70">
        <f>C88*D88*G88*-1</f>
        <v>-1.1847049999999999</v>
      </c>
      <c r="J88" s="69"/>
      <c r="K88" s="71"/>
      <c r="M88" s="397"/>
      <c r="N88" s="26" t="s">
        <v>49</v>
      </c>
      <c r="O88" s="398"/>
    </row>
    <row r="89" spans="1:15" x14ac:dyDescent="0.25">
      <c r="A89" s="100" t="s">
        <v>18</v>
      </c>
      <c r="B89" s="64"/>
      <c r="C89" s="65">
        <v>2</v>
      </c>
      <c r="D89" s="65">
        <v>3</v>
      </c>
      <c r="E89" s="65"/>
      <c r="F89" s="65"/>
      <c r="G89" s="66"/>
      <c r="H89" s="65"/>
      <c r="I89" s="65">
        <f>C89*D89</f>
        <v>6</v>
      </c>
      <c r="J89" s="73"/>
      <c r="K89" s="67"/>
      <c r="M89" s="397"/>
      <c r="N89" s="26" t="s">
        <v>49</v>
      </c>
      <c r="O89" s="398"/>
    </row>
    <row r="90" spans="1:15" x14ac:dyDescent="0.25">
      <c r="A90" s="100" t="s">
        <v>19</v>
      </c>
      <c r="B90" s="64"/>
      <c r="C90" s="65">
        <v>2</v>
      </c>
      <c r="D90" s="65">
        <v>3</v>
      </c>
      <c r="E90" s="65"/>
      <c r="F90" s="65"/>
      <c r="G90" s="66"/>
      <c r="H90" s="65"/>
      <c r="I90" s="65">
        <f>C90*D90</f>
        <v>6</v>
      </c>
      <c r="J90" s="73"/>
      <c r="K90" s="67"/>
      <c r="M90" s="397"/>
      <c r="N90" s="26" t="s">
        <v>49</v>
      </c>
      <c r="O90" s="398"/>
    </row>
    <row r="91" spans="1:15" x14ac:dyDescent="0.25">
      <c r="A91" s="78" t="s">
        <v>93</v>
      </c>
      <c r="B91" s="79"/>
      <c r="C91" s="68">
        <v>0.94</v>
      </c>
      <c r="D91" s="69">
        <v>2.14</v>
      </c>
      <c r="E91" s="69"/>
      <c r="F91" s="69"/>
      <c r="G91" s="80">
        <v>1</v>
      </c>
      <c r="H91" s="69"/>
      <c r="I91" s="70">
        <f>C91*D91*G91*-1</f>
        <v>-2.0116000000000001</v>
      </c>
      <c r="J91" s="69"/>
      <c r="K91" s="71"/>
      <c r="M91" s="397"/>
      <c r="N91" s="26" t="s">
        <v>49</v>
      </c>
      <c r="O91" s="398"/>
    </row>
    <row r="92" spans="1:15" x14ac:dyDescent="0.25">
      <c r="A92" s="63" t="s">
        <v>84</v>
      </c>
      <c r="B92" s="74"/>
      <c r="C92" s="106">
        <v>0.94</v>
      </c>
      <c r="D92" s="106">
        <v>2.14</v>
      </c>
      <c r="E92" s="106">
        <v>0.17</v>
      </c>
      <c r="F92" s="106"/>
      <c r="G92" s="102">
        <v>1</v>
      </c>
      <c r="H92" s="106">
        <f>G92*(D92+C92+D92)</f>
        <v>5.2200000000000006</v>
      </c>
      <c r="I92" s="101">
        <f>H92*E92</f>
        <v>0.88740000000000019</v>
      </c>
      <c r="J92" s="108"/>
      <c r="K92" s="103"/>
      <c r="M92" s="397"/>
      <c r="N92" s="26" t="s">
        <v>49</v>
      </c>
      <c r="O92" s="398"/>
    </row>
    <row r="93" spans="1:15" ht="15.75" thickBot="1" x14ac:dyDescent="0.3">
      <c r="A93" s="119" t="s">
        <v>28</v>
      </c>
      <c r="B93" s="120"/>
      <c r="C93" s="121">
        <v>0.21</v>
      </c>
      <c r="D93" s="121">
        <v>3</v>
      </c>
      <c r="E93" s="121"/>
      <c r="F93" s="121"/>
      <c r="G93" s="122"/>
      <c r="H93" s="121"/>
      <c r="I93" s="86">
        <f>C93*D93</f>
        <v>0.63</v>
      </c>
      <c r="J93" s="89"/>
      <c r="K93" s="90"/>
      <c r="M93" s="401"/>
      <c r="N93" s="402" t="s">
        <v>49</v>
      </c>
      <c r="O93" s="403"/>
    </row>
    <row r="94" spans="1:15" ht="15.75" thickBot="1" x14ac:dyDescent="0.3"/>
    <row r="95" spans="1:15" ht="15.75" thickBot="1" x14ac:dyDescent="0.3">
      <c r="A95" s="53" t="s">
        <v>70</v>
      </c>
      <c r="B95" s="54"/>
      <c r="C95" s="55" t="s">
        <v>2</v>
      </c>
      <c r="D95" s="55" t="s">
        <v>3</v>
      </c>
      <c r="E95" s="55" t="s">
        <v>4</v>
      </c>
      <c r="F95" s="55" t="s">
        <v>5</v>
      </c>
      <c r="G95" s="56" t="s">
        <v>1</v>
      </c>
      <c r="H95" s="55" t="s">
        <v>6</v>
      </c>
      <c r="I95" s="55" t="s">
        <v>7</v>
      </c>
      <c r="J95" s="55" t="s">
        <v>8</v>
      </c>
      <c r="K95" s="57" t="s">
        <v>9</v>
      </c>
    </row>
    <row r="96" spans="1:15" x14ac:dyDescent="0.25">
      <c r="A96" s="104" t="s">
        <v>85</v>
      </c>
      <c r="B96" s="105" t="s">
        <v>40</v>
      </c>
      <c r="C96" s="60"/>
      <c r="D96" s="60"/>
      <c r="E96" s="60"/>
      <c r="F96" s="60"/>
      <c r="G96" s="61"/>
      <c r="H96" s="60"/>
      <c r="I96" s="62">
        <f>SUM(I97:I102)</f>
        <v>12.8308</v>
      </c>
      <c r="J96" s="72"/>
      <c r="K96" s="1"/>
      <c r="M96" s="408">
        <f>7.13+5.78</f>
        <v>12.91</v>
      </c>
      <c r="N96" s="409">
        <f>M96-I96</f>
        <v>7.9200000000000159E-2</v>
      </c>
      <c r="O96" s="396">
        <f>N96/M96</f>
        <v>6.1347792408985406E-3</v>
      </c>
    </row>
    <row r="97" spans="1:15" x14ac:dyDescent="0.25">
      <c r="A97" s="118" t="s">
        <v>64</v>
      </c>
      <c r="B97" s="64"/>
      <c r="C97" s="65"/>
      <c r="D97" s="65"/>
      <c r="E97" s="65"/>
      <c r="F97" s="65"/>
      <c r="G97" s="66"/>
      <c r="H97" s="65"/>
      <c r="I97" s="65">
        <f>I105</f>
        <v>5.6627999999999998</v>
      </c>
      <c r="J97" s="73"/>
      <c r="K97" s="67"/>
      <c r="M97" s="397"/>
      <c r="N97" s="26" t="s">
        <v>49</v>
      </c>
      <c r="O97" s="398"/>
    </row>
    <row r="98" spans="1:15" x14ac:dyDescent="0.25">
      <c r="A98" s="118" t="s">
        <v>56</v>
      </c>
      <c r="B98" s="64"/>
      <c r="C98" s="65"/>
      <c r="D98" s="65"/>
      <c r="E98" s="65"/>
      <c r="F98" s="65"/>
      <c r="G98" s="66"/>
      <c r="H98" s="65"/>
      <c r="I98" s="65"/>
      <c r="J98" s="73"/>
      <c r="K98" s="67"/>
      <c r="M98" s="397"/>
      <c r="N98" s="26" t="s">
        <v>49</v>
      </c>
      <c r="O98" s="398"/>
    </row>
    <row r="99" spans="1:15" x14ac:dyDescent="0.25">
      <c r="A99" s="63" t="s">
        <v>81</v>
      </c>
      <c r="B99" s="64"/>
      <c r="C99" s="73">
        <v>1.56</v>
      </c>
      <c r="D99" s="73">
        <v>1.63</v>
      </c>
      <c r="E99" s="65">
        <v>0.6</v>
      </c>
      <c r="F99" s="65"/>
      <c r="G99" s="66"/>
      <c r="H99" s="65">
        <f>(C99+D99)*2</f>
        <v>6.38</v>
      </c>
      <c r="I99" s="65">
        <f>H99*E99</f>
        <v>3.8279999999999998</v>
      </c>
      <c r="J99" s="73"/>
      <c r="K99" s="67"/>
      <c r="M99" s="397"/>
      <c r="N99" s="26" t="s">
        <v>49</v>
      </c>
      <c r="O99" s="398"/>
    </row>
    <row r="100" spans="1:15" x14ac:dyDescent="0.25">
      <c r="A100" s="78" t="s">
        <v>89</v>
      </c>
      <c r="B100" s="79"/>
      <c r="C100" s="68">
        <v>0.84</v>
      </c>
      <c r="D100" s="69"/>
      <c r="E100" s="68">
        <v>0.6</v>
      </c>
      <c r="F100" s="68"/>
      <c r="G100" s="80">
        <v>1</v>
      </c>
      <c r="H100" s="69"/>
      <c r="I100" s="70">
        <f>C100*G100*E100-1</f>
        <v>-0.496</v>
      </c>
      <c r="J100" s="69"/>
      <c r="K100" s="71"/>
      <c r="M100" s="397"/>
      <c r="N100" s="26" t="s">
        <v>49</v>
      </c>
      <c r="O100" s="398"/>
    </row>
    <row r="101" spans="1:15" x14ac:dyDescent="0.25">
      <c r="A101" s="63" t="s">
        <v>80</v>
      </c>
      <c r="B101" s="64"/>
      <c r="C101" s="73">
        <v>1.56</v>
      </c>
      <c r="D101" s="73">
        <v>2</v>
      </c>
      <c r="E101" s="65">
        <v>0.6</v>
      </c>
      <c r="F101" s="65"/>
      <c r="G101" s="66"/>
      <c r="H101" s="65">
        <f>(C101+D101)*2</f>
        <v>7.12</v>
      </c>
      <c r="I101" s="65">
        <f>H101*E101</f>
        <v>4.2720000000000002</v>
      </c>
      <c r="J101" s="73"/>
      <c r="K101" s="67"/>
      <c r="M101" s="397"/>
      <c r="N101" s="26" t="s">
        <v>49</v>
      </c>
      <c r="O101" s="398"/>
    </row>
    <row r="102" spans="1:15" ht="15.75" thickBot="1" x14ac:dyDescent="0.3">
      <c r="A102" s="109" t="s">
        <v>93</v>
      </c>
      <c r="B102" s="110"/>
      <c r="C102" s="111">
        <v>0.94</v>
      </c>
      <c r="D102" s="112"/>
      <c r="E102" s="111">
        <v>0.6</v>
      </c>
      <c r="F102" s="111"/>
      <c r="G102" s="113">
        <v>1</v>
      </c>
      <c r="H102" s="112"/>
      <c r="I102" s="114">
        <f>C102*G102*E102-1</f>
        <v>-0.43600000000000005</v>
      </c>
      <c r="J102" s="112"/>
      <c r="K102" s="115"/>
      <c r="M102" s="401"/>
      <c r="N102" s="402" t="s">
        <v>49</v>
      </c>
      <c r="O102" s="403"/>
    </row>
    <row r="103" spans="1:15" ht="15.75" thickBot="1" x14ac:dyDescent="0.3"/>
    <row r="104" spans="1:15" ht="15.75" thickBot="1" x14ac:dyDescent="0.3">
      <c r="A104" s="53" t="s">
        <v>95</v>
      </c>
      <c r="B104" s="54"/>
      <c r="C104" s="55" t="s">
        <v>2</v>
      </c>
      <c r="D104" s="55" t="s">
        <v>3</v>
      </c>
      <c r="E104" s="55" t="s">
        <v>4</v>
      </c>
      <c r="F104" s="55" t="s">
        <v>5</v>
      </c>
      <c r="G104" s="56" t="s">
        <v>1</v>
      </c>
      <c r="H104" s="55" t="s">
        <v>6</v>
      </c>
      <c r="I104" s="55" t="s">
        <v>7</v>
      </c>
      <c r="J104" s="55" t="s">
        <v>8</v>
      </c>
      <c r="K104" s="57" t="s">
        <v>9</v>
      </c>
    </row>
    <row r="105" spans="1:15" x14ac:dyDescent="0.25">
      <c r="A105" s="104" t="s">
        <v>96</v>
      </c>
      <c r="B105" s="105" t="s">
        <v>40</v>
      </c>
      <c r="C105" s="60"/>
      <c r="D105" s="60"/>
      <c r="E105" s="60"/>
      <c r="F105" s="60"/>
      <c r="G105" s="61"/>
      <c r="H105" s="60"/>
      <c r="I105" s="62">
        <f>SUM(I106:I107)</f>
        <v>5.6627999999999998</v>
      </c>
      <c r="J105" s="72"/>
      <c r="K105" s="1"/>
      <c r="M105" s="408">
        <v>6.09</v>
      </c>
      <c r="N105" s="409">
        <f>M105-I105</f>
        <v>0.42720000000000002</v>
      </c>
      <c r="O105" s="396">
        <f>N105/M105</f>
        <v>7.0147783251231527E-2</v>
      </c>
    </row>
    <row r="106" spans="1:15" x14ac:dyDescent="0.25">
      <c r="A106" s="63" t="s">
        <v>81</v>
      </c>
      <c r="B106" s="64"/>
      <c r="C106" s="73">
        <v>1.56</v>
      </c>
      <c r="D106" s="73">
        <v>1.63</v>
      </c>
      <c r="E106" s="65"/>
      <c r="F106" s="65"/>
      <c r="G106" s="66"/>
      <c r="H106" s="65"/>
      <c r="I106" s="65">
        <f>C106*D106</f>
        <v>2.5427999999999997</v>
      </c>
      <c r="J106" s="73"/>
      <c r="K106" s="67"/>
      <c r="M106" s="397"/>
      <c r="N106" s="26" t="s">
        <v>49</v>
      </c>
      <c r="O106" s="398"/>
    </row>
    <row r="107" spans="1:15" ht="15.75" thickBot="1" x14ac:dyDescent="0.3">
      <c r="A107" s="84" t="s">
        <v>80</v>
      </c>
      <c r="B107" s="85"/>
      <c r="C107" s="89">
        <v>1.56</v>
      </c>
      <c r="D107" s="89">
        <v>2</v>
      </c>
      <c r="E107" s="86"/>
      <c r="F107" s="86"/>
      <c r="G107" s="122"/>
      <c r="H107" s="86"/>
      <c r="I107" s="86">
        <f>C107*D107</f>
        <v>3.12</v>
      </c>
      <c r="J107" s="89"/>
      <c r="K107" s="90"/>
      <c r="M107" s="401"/>
      <c r="N107" s="402" t="s">
        <v>49</v>
      </c>
      <c r="O107" s="403"/>
    </row>
    <row r="108" spans="1:15" ht="15.75" thickBot="1" x14ac:dyDescent="0.3"/>
    <row r="109" spans="1:15" ht="15.75" thickBot="1" x14ac:dyDescent="0.3">
      <c r="A109" s="53" t="s">
        <v>97</v>
      </c>
      <c r="B109" s="54"/>
      <c r="C109" s="55" t="s">
        <v>2</v>
      </c>
      <c r="D109" s="55" t="s">
        <v>3</v>
      </c>
      <c r="E109" s="55" t="s">
        <v>4</v>
      </c>
      <c r="F109" s="55" t="s">
        <v>98</v>
      </c>
      <c r="G109" s="56" t="s">
        <v>1</v>
      </c>
      <c r="H109" s="55" t="s">
        <v>6</v>
      </c>
      <c r="I109" s="55" t="s">
        <v>7</v>
      </c>
      <c r="J109" s="55" t="s">
        <v>8</v>
      </c>
      <c r="K109" s="57" t="s">
        <v>9</v>
      </c>
    </row>
    <row r="110" spans="1:15" x14ac:dyDescent="0.25">
      <c r="A110" s="124" t="s">
        <v>99</v>
      </c>
      <c r="B110" s="125" t="s">
        <v>40</v>
      </c>
      <c r="C110" s="94"/>
      <c r="D110" s="94"/>
      <c r="E110" s="94"/>
      <c r="F110" s="94"/>
      <c r="G110" s="95"/>
      <c r="H110" s="94"/>
      <c r="I110" s="96">
        <f>SUM(I111:I112)</f>
        <v>5.6627999999999998</v>
      </c>
      <c r="J110" s="94"/>
      <c r="K110" s="98"/>
      <c r="M110" s="408">
        <f>4.83+(2*0.62*0.62)+(1*0.15*0.15)</f>
        <v>5.6212999999999997</v>
      </c>
      <c r="N110" s="409">
        <f>M110-I110</f>
        <v>-4.1500000000000092E-2</v>
      </c>
      <c r="O110" s="396">
        <f>N110/M110</f>
        <v>-7.3826339103054625E-3</v>
      </c>
    </row>
    <row r="111" spans="1:15" x14ac:dyDescent="0.25">
      <c r="A111" s="63" t="s">
        <v>81</v>
      </c>
      <c r="B111" s="64"/>
      <c r="C111" s="73">
        <v>1.56</v>
      </c>
      <c r="D111" s="73">
        <v>1.63</v>
      </c>
      <c r="E111" s="65"/>
      <c r="F111" s="65"/>
      <c r="G111" s="66"/>
      <c r="H111" s="65"/>
      <c r="I111" s="65">
        <f>C111*D111</f>
        <v>2.5427999999999997</v>
      </c>
      <c r="J111" s="73"/>
      <c r="K111" s="67"/>
      <c r="M111" s="397"/>
      <c r="N111" s="26" t="s">
        <v>49</v>
      </c>
      <c r="O111" s="398"/>
    </row>
    <row r="112" spans="1:15" ht="15.75" thickBot="1" x14ac:dyDescent="0.3">
      <c r="A112" s="84" t="s">
        <v>80</v>
      </c>
      <c r="B112" s="85"/>
      <c r="C112" s="89">
        <v>1.56</v>
      </c>
      <c r="D112" s="89">
        <v>2</v>
      </c>
      <c r="E112" s="86"/>
      <c r="F112" s="86"/>
      <c r="G112" s="122"/>
      <c r="H112" s="86"/>
      <c r="I112" s="86">
        <f>C112*D112</f>
        <v>3.12</v>
      </c>
      <c r="J112" s="89"/>
      <c r="K112" s="90"/>
      <c r="M112" s="401"/>
      <c r="N112" s="402" t="s">
        <v>49</v>
      </c>
      <c r="O112" s="403"/>
    </row>
    <row r="113" spans="1:15" ht="15.75" thickBot="1" x14ac:dyDescent="0.3"/>
    <row r="114" spans="1:15" ht="15.75" thickBot="1" x14ac:dyDescent="0.3">
      <c r="A114" s="53" t="s">
        <v>100</v>
      </c>
      <c r="B114" s="54"/>
      <c r="C114" s="55" t="s">
        <v>2</v>
      </c>
      <c r="D114" s="55" t="s">
        <v>3</v>
      </c>
      <c r="E114" s="55" t="s">
        <v>4</v>
      </c>
      <c r="F114" s="55" t="s">
        <v>5</v>
      </c>
      <c r="G114" s="56" t="s">
        <v>1</v>
      </c>
      <c r="H114" s="55" t="s">
        <v>6</v>
      </c>
      <c r="I114" s="55" t="s">
        <v>7</v>
      </c>
      <c r="J114" s="55" t="s">
        <v>8</v>
      </c>
      <c r="K114" s="57" t="s">
        <v>9</v>
      </c>
    </row>
    <row r="115" spans="1:15" ht="25.5" x14ac:dyDescent="0.25">
      <c r="A115" s="130" t="s">
        <v>101</v>
      </c>
      <c r="B115" s="105" t="s">
        <v>40</v>
      </c>
      <c r="C115" s="60"/>
      <c r="D115" s="60"/>
      <c r="E115" s="60"/>
      <c r="F115" s="60"/>
      <c r="G115" s="61"/>
      <c r="H115" s="60"/>
      <c r="I115" s="62">
        <f>SUM(I116:I128)</f>
        <v>35.506095000000002</v>
      </c>
      <c r="J115" s="72"/>
      <c r="K115" s="1"/>
      <c r="M115" s="408">
        <v>35.22</v>
      </c>
      <c r="N115" s="409">
        <f>M115-I115</f>
        <v>-0.2860950000000031</v>
      </c>
      <c r="O115" s="396">
        <f>N115/M115</f>
        <v>-8.1230834752982137E-3</v>
      </c>
    </row>
    <row r="116" spans="1:15" x14ac:dyDescent="0.25">
      <c r="A116" s="99" t="s">
        <v>81</v>
      </c>
      <c r="B116" s="74"/>
      <c r="C116" s="75"/>
      <c r="D116" s="75"/>
      <c r="E116" s="75"/>
      <c r="F116" s="75"/>
      <c r="G116" s="66"/>
      <c r="H116" s="75"/>
      <c r="I116" s="65"/>
      <c r="J116" s="73"/>
      <c r="K116" s="67"/>
      <c r="M116" s="397"/>
      <c r="N116" s="26" t="s">
        <v>49</v>
      </c>
      <c r="O116" s="398"/>
    </row>
    <row r="117" spans="1:15" x14ac:dyDescent="0.25">
      <c r="A117" s="100" t="s">
        <v>32</v>
      </c>
      <c r="B117" s="64"/>
      <c r="C117" s="65">
        <v>1.56</v>
      </c>
      <c r="D117" s="65">
        <v>3</v>
      </c>
      <c r="E117" s="65"/>
      <c r="F117" s="65"/>
      <c r="G117" s="66"/>
      <c r="H117" s="65"/>
      <c r="I117" s="65">
        <f>C117*D117</f>
        <v>4.68</v>
      </c>
      <c r="J117" s="73"/>
      <c r="K117" s="67"/>
      <c r="M117" s="397"/>
      <c r="N117" s="26" t="s">
        <v>49</v>
      </c>
      <c r="O117" s="398"/>
    </row>
    <row r="118" spans="1:15" x14ac:dyDescent="0.25">
      <c r="A118" s="100" t="s">
        <v>29</v>
      </c>
      <c r="B118" s="64"/>
      <c r="C118" s="65">
        <v>1.56</v>
      </c>
      <c r="D118" s="65">
        <v>3</v>
      </c>
      <c r="E118" s="65"/>
      <c r="F118" s="65"/>
      <c r="G118" s="66"/>
      <c r="H118" s="65"/>
      <c r="I118" s="65">
        <f>C118*D118</f>
        <v>4.68</v>
      </c>
      <c r="J118" s="73"/>
      <c r="K118" s="67"/>
      <c r="M118" s="397"/>
      <c r="N118" s="26" t="s">
        <v>49</v>
      </c>
      <c r="O118" s="398"/>
    </row>
    <row r="119" spans="1:15" x14ac:dyDescent="0.25">
      <c r="A119" s="100" t="s">
        <v>18</v>
      </c>
      <c r="B119" s="64"/>
      <c r="C119" s="65">
        <v>1.63</v>
      </c>
      <c r="D119" s="65">
        <v>3</v>
      </c>
      <c r="E119" s="65"/>
      <c r="F119" s="65"/>
      <c r="G119" s="66"/>
      <c r="H119" s="65"/>
      <c r="I119" s="65">
        <f>C119*D119</f>
        <v>4.8899999999999997</v>
      </c>
      <c r="J119" s="73"/>
      <c r="K119" s="67"/>
      <c r="M119" s="397"/>
      <c r="N119" s="26" t="s">
        <v>49</v>
      </c>
      <c r="O119" s="398"/>
    </row>
    <row r="120" spans="1:15" x14ac:dyDescent="0.25">
      <c r="A120" s="100" t="s">
        <v>19</v>
      </c>
      <c r="B120" s="64"/>
      <c r="C120" s="65">
        <v>1.63</v>
      </c>
      <c r="D120" s="65">
        <v>3</v>
      </c>
      <c r="E120" s="65"/>
      <c r="F120" s="65"/>
      <c r="G120" s="81"/>
      <c r="H120" s="65"/>
      <c r="I120" s="65">
        <f>C120*D120</f>
        <v>4.8899999999999997</v>
      </c>
      <c r="J120" s="73"/>
      <c r="K120" s="67"/>
      <c r="M120" s="397"/>
      <c r="N120" s="26" t="s">
        <v>49</v>
      </c>
      <c r="O120" s="398"/>
    </row>
    <row r="121" spans="1:15" x14ac:dyDescent="0.25">
      <c r="A121" s="78" t="s">
        <v>89</v>
      </c>
      <c r="B121" s="79"/>
      <c r="C121" s="68">
        <v>0.84</v>
      </c>
      <c r="D121" s="68">
        <v>2.14</v>
      </c>
      <c r="E121" s="69"/>
      <c r="F121" s="69"/>
      <c r="G121" s="80">
        <v>1</v>
      </c>
      <c r="H121" s="69"/>
      <c r="I121" s="70">
        <f>C121*D121*G121*-1</f>
        <v>-1.7976000000000001</v>
      </c>
      <c r="J121" s="69"/>
      <c r="K121" s="71"/>
      <c r="M121" s="397"/>
      <c r="N121" s="26" t="s">
        <v>49</v>
      </c>
      <c r="O121" s="398"/>
    </row>
    <row r="122" spans="1:15" x14ac:dyDescent="0.25">
      <c r="A122" s="99" t="s">
        <v>80</v>
      </c>
      <c r="B122" s="74"/>
      <c r="C122" s="75"/>
      <c r="D122" s="75"/>
      <c r="E122" s="75"/>
      <c r="F122" s="75"/>
      <c r="G122" s="66"/>
      <c r="H122" s="75"/>
      <c r="I122" s="65"/>
      <c r="J122" s="73"/>
      <c r="K122" s="67"/>
      <c r="M122" s="397"/>
      <c r="N122" s="26" t="s">
        <v>49</v>
      </c>
      <c r="O122" s="398"/>
    </row>
    <row r="123" spans="1:15" x14ac:dyDescent="0.25">
      <c r="A123" s="100" t="s">
        <v>32</v>
      </c>
      <c r="B123" s="64"/>
      <c r="C123" s="65">
        <v>1.56</v>
      </c>
      <c r="D123" s="65">
        <v>3</v>
      </c>
      <c r="E123" s="65"/>
      <c r="F123" s="65"/>
      <c r="G123" s="66"/>
      <c r="H123" s="65"/>
      <c r="I123" s="65">
        <f>C123*D123</f>
        <v>4.68</v>
      </c>
      <c r="J123" s="73"/>
      <c r="K123" s="67"/>
      <c r="M123" s="397"/>
      <c r="N123" s="26" t="s">
        <v>49</v>
      </c>
      <c r="O123" s="398"/>
    </row>
    <row r="124" spans="1:15" x14ac:dyDescent="0.25">
      <c r="A124" s="100" t="s">
        <v>29</v>
      </c>
      <c r="B124" s="64"/>
      <c r="C124" s="65">
        <v>1.56</v>
      </c>
      <c r="D124" s="65">
        <v>3</v>
      </c>
      <c r="E124" s="65"/>
      <c r="F124" s="65"/>
      <c r="G124" s="66"/>
      <c r="H124" s="65"/>
      <c r="I124" s="65">
        <f>C124*D124</f>
        <v>4.68</v>
      </c>
      <c r="J124" s="73"/>
      <c r="K124" s="67"/>
      <c r="M124" s="397"/>
      <c r="N124" s="26" t="s">
        <v>49</v>
      </c>
      <c r="O124" s="398"/>
    </row>
    <row r="125" spans="1:15" x14ac:dyDescent="0.25">
      <c r="A125" s="78" t="s">
        <v>62</v>
      </c>
      <c r="B125" s="79"/>
      <c r="C125" s="27">
        <v>1.5649999999999999</v>
      </c>
      <c r="D125" s="27">
        <v>0.75700000000000001</v>
      </c>
      <c r="E125" s="69"/>
      <c r="F125" s="69"/>
      <c r="G125" s="80">
        <v>1</v>
      </c>
      <c r="H125" s="69"/>
      <c r="I125" s="70">
        <f>C125*D125*G125*-1</f>
        <v>-1.1847049999999999</v>
      </c>
      <c r="J125" s="69"/>
      <c r="K125" s="71"/>
      <c r="M125" s="397"/>
      <c r="N125" s="26" t="s">
        <v>49</v>
      </c>
      <c r="O125" s="398"/>
    </row>
    <row r="126" spans="1:15" x14ac:dyDescent="0.25">
      <c r="A126" s="100" t="s">
        <v>18</v>
      </c>
      <c r="B126" s="64"/>
      <c r="C126" s="65">
        <v>2</v>
      </c>
      <c r="D126" s="65">
        <v>3</v>
      </c>
      <c r="E126" s="65"/>
      <c r="F126" s="65"/>
      <c r="G126" s="66"/>
      <c r="H126" s="65"/>
      <c r="I126" s="65">
        <f>C126*D126</f>
        <v>6</v>
      </c>
      <c r="J126" s="73"/>
      <c r="K126" s="67"/>
      <c r="M126" s="397"/>
      <c r="N126" s="26" t="s">
        <v>49</v>
      </c>
      <c r="O126" s="398"/>
    </row>
    <row r="127" spans="1:15" x14ac:dyDescent="0.25">
      <c r="A127" s="100" t="s">
        <v>19</v>
      </c>
      <c r="B127" s="64"/>
      <c r="C127" s="65">
        <v>2</v>
      </c>
      <c r="D127" s="65">
        <v>3</v>
      </c>
      <c r="E127" s="65"/>
      <c r="F127" s="65"/>
      <c r="G127" s="81"/>
      <c r="H127" s="65"/>
      <c r="I127" s="65">
        <f>C127*D127</f>
        <v>6</v>
      </c>
      <c r="J127" s="73"/>
      <c r="K127" s="67"/>
      <c r="M127" s="397"/>
      <c r="N127" s="26" t="s">
        <v>49</v>
      </c>
      <c r="O127" s="398"/>
    </row>
    <row r="128" spans="1:15" x14ac:dyDescent="0.25">
      <c r="A128" s="78" t="s">
        <v>93</v>
      </c>
      <c r="B128" s="79"/>
      <c r="C128" s="68">
        <v>0.94</v>
      </c>
      <c r="D128" s="68">
        <v>2.14</v>
      </c>
      <c r="E128" s="69"/>
      <c r="F128" s="69"/>
      <c r="G128" s="80">
        <v>1</v>
      </c>
      <c r="H128" s="69"/>
      <c r="I128" s="70">
        <f>C128*D128*G128*-1</f>
        <v>-2.0116000000000001</v>
      </c>
      <c r="J128" s="69"/>
      <c r="K128" s="71"/>
      <c r="M128" s="397"/>
      <c r="N128" s="26" t="s">
        <v>49</v>
      </c>
      <c r="O128" s="398"/>
    </row>
    <row r="129" spans="1:15" ht="25.5" x14ac:dyDescent="0.25">
      <c r="A129" s="104" t="s">
        <v>102</v>
      </c>
      <c r="B129" s="105" t="s">
        <v>40</v>
      </c>
      <c r="C129" s="60"/>
      <c r="D129" s="60"/>
      <c r="E129" s="60"/>
      <c r="F129" s="60"/>
      <c r="G129" s="61"/>
      <c r="H129" s="60"/>
      <c r="I129" s="62">
        <f>SUM(I130:I133)</f>
        <v>9.6096000000000021</v>
      </c>
      <c r="J129" s="72"/>
      <c r="K129" s="1" t="s">
        <v>105</v>
      </c>
      <c r="M129" s="410">
        <v>9.25</v>
      </c>
      <c r="N129" s="15">
        <f>M129-I129</f>
        <v>-0.35960000000000214</v>
      </c>
      <c r="O129" s="400">
        <f>N129/M129</f>
        <v>-3.8875675675675909E-2</v>
      </c>
    </row>
    <row r="130" spans="1:15" x14ac:dyDescent="0.25">
      <c r="A130" s="99" t="s">
        <v>103</v>
      </c>
      <c r="B130" s="74"/>
      <c r="C130" s="75">
        <v>5.32</v>
      </c>
      <c r="D130" s="75">
        <f>2.87-0.05</f>
        <v>2.8200000000000003</v>
      </c>
      <c r="E130" s="75"/>
      <c r="F130" s="75"/>
      <c r="G130" s="66"/>
      <c r="H130" s="75"/>
      <c r="I130" s="65">
        <f>C130*D130</f>
        <v>15.002400000000002</v>
      </c>
      <c r="J130" s="73"/>
      <c r="K130" s="67"/>
      <c r="M130" s="397"/>
      <c r="N130" s="26" t="s">
        <v>49</v>
      </c>
      <c r="O130" s="398"/>
    </row>
    <row r="131" spans="1:15" x14ac:dyDescent="0.25">
      <c r="A131" s="78" t="s">
        <v>89</v>
      </c>
      <c r="B131" s="79"/>
      <c r="C131" s="68">
        <v>0.84</v>
      </c>
      <c r="D131" s="68">
        <v>2.14</v>
      </c>
      <c r="E131" s="69"/>
      <c r="F131" s="69"/>
      <c r="G131" s="80">
        <v>1</v>
      </c>
      <c r="H131" s="69"/>
      <c r="I131" s="70">
        <v>-1.7976000000000001</v>
      </c>
      <c r="J131" s="69"/>
      <c r="K131" s="71"/>
      <c r="M131" s="397"/>
      <c r="N131" s="26" t="s">
        <v>49</v>
      </c>
      <c r="O131" s="398"/>
    </row>
    <row r="132" spans="1:15" x14ac:dyDescent="0.25">
      <c r="A132" s="78" t="s">
        <v>93</v>
      </c>
      <c r="B132" s="79"/>
      <c r="C132" s="68">
        <v>0.94</v>
      </c>
      <c r="D132" s="68">
        <v>2.14</v>
      </c>
      <c r="E132" s="69"/>
      <c r="F132" s="69"/>
      <c r="G132" s="80">
        <v>1</v>
      </c>
      <c r="H132" s="69"/>
      <c r="I132" s="70">
        <v>-2.0116000000000001</v>
      </c>
      <c r="J132" s="69"/>
      <c r="K132" s="71"/>
      <c r="M132" s="397"/>
      <c r="N132" s="26" t="s">
        <v>49</v>
      </c>
      <c r="O132" s="398"/>
    </row>
    <row r="133" spans="1:15" ht="15.75" thickBot="1" x14ac:dyDescent="0.3">
      <c r="A133" s="109" t="s">
        <v>104</v>
      </c>
      <c r="B133" s="110"/>
      <c r="C133" s="111">
        <v>0.74</v>
      </c>
      <c r="D133" s="112">
        <v>2.14</v>
      </c>
      <c r="E133" s="112"/>
      <c r="F133" s="112"/>
      <c r="G133" s="113">
        <v>1</v>
      </c>
      <c r="H133" s="112"/>
      <c r="I133" s="114">
        <f>C133*D133*G133*-1</f>
        <v>-1.5836000000000001</v>
      </c>
      <c r="J133" s="112"/>
      <c r="K133" s="115"/>
      <c r="M133" s="401"/>
      <c r="N133" s="402" t="s">
        <v>49</v>
      </c>
      <c r="O133" s="403"/>
    </row>
    <row r="134" spans="1:15" ht="15.75" thickBot="1" x14ac:dyDescent="0.3"/>
    <row r="135" spans="1:15" ht="15.75" thickBot="1" x14ac:dyDescent="0.3">
      <c r="A135" s="53" t="s">
        <v>106</v>
      </c>
      <c r="B135" s="54"/>
      <c r="C135" s="55" t="s">
        <v>2</v>
      </c>
      <c r="D135" s="55" t="s">
        <v>3</v>
      </c>
      <c r="E135" s="55" t="s">
        <v>4</v>
      </c>
      <c r="F135" s="55" t="s">
        <v>5</v>
      </c>
      <c r="G135" s="56" t="s">
        <v>1</v>
      </c>
      <c r="H135" s="55" t="s">
        <v>6</v>
      </c>
      <c r="I135" s="55" t="s">
        <v>7</v>
      </c>
      <c r="J135" s="55" t="s">
        <v>8</v>
      </c>
      <c r="K135" s="57" t="s">
        <v>9</v>
      </c>
    </row>
    <row r="136" spans="1:15" ht="38.25" x14ac:dyDescent="0.25">
      <c r="A136" s="104" t="s">
        <v>269</v>
      </c>
      <c r="B136" s="105" t="s">
        <v>40</v>
      </c>
      <c r="C136" s="60"/>
      <c r="D136" s="60"/>
      <c r="E136" s="60"/>
      <c r="F136" s="60"/>
      <c r="G136" s="61"/>
      <c r="H136" s="60"/>
      <c r="I136" s="62">
        <f>SUM(I137:I138)</f>
        <v>5.6627999999999998</v>
      </c>
      <c r="J136" s="60"/>
      <c r="K136" s="1"/>
      <c r="M136" s="408">
        <v>5.78</v>
      </c>
      <c r="N136" s="409">
        <f>M136-I136</f>
        <v>0.11720000000000041</v>
      </c>
      <c r="O136" s="396">
        <f>N136/M136</f>
        <v>2.027681660899661E-2</v>
      </c>
    </row>
    <row r="137" spans="1:15" x14ac:dyDescent="0.25">
      <c r="A137" s="63" t="s">
        <v>81</v>
      </c>
      <c r="B137" s="64"/>
      <c r="C137" s="73">
        <v>1.56</v>
      </c>
      <c r="D137" s="73">
        <v>1.63</v>
      </c>
      <c r="E137" s="65"/>
      <c r="F137" s="65"/>
      <c r="G137" s="66"/>
      <c r="H137" s="65"/>
      <c r="I137" s="65">
        <f>C137*D137</f>
        <v>2.5427999999999997</v>
      </c>
      <c r="J137" s="73"/>
      <c r="K137" s="67"/>
      <c r="M137" s="397"/>
      <c r="N137" s="26" t="s">
        <v>49</v>
      </c>
      <c r="O137" s="398"/>
    </row>
    <row r="138" spans="1:15" ht="15.75" thickBot="1" x14ac:dyDescent="0.3">
      <c r="A138" s="84" t="s">
        <v>80</v>
      </c>
      <c r="B138" s="85"/>
      <c r="C138" s="89">
        <v>1.56</v>
      </c>
      <c r="D138" s="89">
        <v>2</v>
      </c>
      <c r="E138" s="86"/>
      <c r="F138" s="86"/>
      <c r="G138" s="122"/>
      <c r="H138" s="86"/>
      <c r="I138" s="86">
        <f>C138*D138</f>
        <v>3.12</v>
      </c>
      <c r="J138" s="89"/>
      <c r="K138" s="90"/>
      <c r="M138" s="401"/>
      <c r="N138" s="402" t="s">
        <v>49</v>
      </c>
      <c r="O138" s="403"/>
    </row>
    <row r="139" spans="1:15" ht="15.75" thickBot="1" x14ac:dyDescent="0.3"/>
    <row r="140" spans="1:15" ht="15.75" thickBot="1" x14ac:dyDescent="0.3">
      <c r="A140" s="53" t="s">
        <v>115</v>
      </c>
      <c r="B140" s="54"/>
      <c r="C140" s="55" t="s">
        <v>2</v>
      </c>
      <c r="D140" s="55" t="s">
        <v>3</v>
      </c>
      <c r="E140" s="55" t="s">
        <v>110</v>
      </c>
      <c r="F140" s="55"/>
      <c r="G140" s="56" t="s">
        <v>1</v>
      </c>
      <c r="H140" s="55" t="s">
        <v>6</v>
      </c>
      <c r="I140" s="55" t="s">
        <v>7</v>
      </c>
      <c r="J140" s="55" t="s">
        <v>8</v>
      </c>
      <c r="K140" s="57" t="s">
        <v>9</v>
      </c>
    </row>
    <row r="141" spans="1:15" ht="25.5" x14ac:dyDescent="0.25">
      <c r="A141" s="104" t="s">
        <v>101</v>
      </c>
      <c r="B141" s="126" t="s">
        <v>10</v>
      </c>
      <c r="C141" s="60"/>
      <c r="D141" s="60"/>
      <c r="E141" s="60"/>
      <c r="F141" s="60"/>
      <c r="G141" s="61"/>
      <c r="H141" s="60"/>
      <c r="I141" s="62">
        <f>I142</f>
        <v>1.7753047500000001</v>
      </c>
      <c r="J141" s="72"/>
      <c r="K141" s="1"/>
      <c r="M141" s="408">
        <f>5%*M115</f>
        <v>1.7610000000000001</v>
      </c>
      <c r="N141" s="409">
        <f>M141-I141</f>
        <v>-1.4304749999999977E-2</v>
      </c>
      <c r="O141" s="396">
        <f>N141/M141</f>
        <v>-8.1230834752981131E-3</v>
      </c>
    </row>
    <row r="142" spans="1:15" x14ac:dyDescent="0.25">
      <c r="A142" s="142">
        <v>0.05</v>
      </c>
      <c r="B142" s="143"/>
      <c r="C142" s="65"/>
      <c r="D142" s="65"/>
      <c r="E142" s="65"/>
      <c r="F142" s="65"/>
      <c r="G142" s="66"/>
      <c r="H142" s="65"/>
      <c r="I142" s="65">
        <f>A142*I115</f>
        <v>1.7753047500000001</v>
      </c>
      <c r="J142" s="73"/>
      <c r="K142" s="67"/>
      <c r="M142" s="397"/>
      <c r="N142" s="26" t="s">
        <v>49</v>
      </c>
      <c r="O142" s="398"/>
    </row>
    <row r="143" spans="1:15" ht="38.25" x14ac:dyDescent="0.25">
      <c r="A143" s="104" t="s">
        <v>269</v>
      </c>
      <c r="B143" s="126" t="s">
        <v>10</v>
      </c>
      <c r="C143" s="60"/>
      <c r="D143" s="60"/>
      <c r="E143" s="60"/>
      <c r="F143" s="60"/>
      <c r="G143" s="61"/>
      <c r="H143" s="60"/>
      <c r="I143" s="62">
        <f>I144</f>
        <v>0.28314</v>
      </c>
      <c r="J143" s="72"/>
      <c r="K143" s="1"/>
      <c r="M143" s="410">
        <f>5%*M136</f>
        <v>0.28900000000000003</v>
      </c>
      <c r="N143" s="15">
        <f>M143-I143</f>
        <v>5.8600000000000319E-3</v>
      </c>
      <c r="O143" s="400">
        <f>N143/M143</f>
        <v>2.0276816608996648E-2</v>
      </c>
    </row>
    <row r="144" spans="1:15" ht="15.75" thickBot="1" x14ac:dyDescent="0.3">
      <c r="A144" s="144">
        <v>0.05</v>
      </c>
      <c r="B144" s="145"/>
      <c r="C144" s="121"/>
      <c r="D144" s="121"/>
      <c r="E144" s="121"/>
      <c r="F144" s="121"/>
      <c r="G144" s="146"/>
      <c r="H144" s="121"/>
      <c r="I144" s="121">
        <f>A144*I136</f>
        <v>0.28314</v>
      </c>
      <c r="J144" s="147"/>
      <c r="K144" s="148"/>
      <c r="M144" s="401"/>
      <c r="N144" s="402" t="s">
        <v>49</v>
      </c>
      <c r="O144" s="403"/>
    </row>
    <row r="145" spans="1:15" ht="15.75" thickBot="1" x14ac:dyDescent="0.3"/>
    <row r="146" spans="1:15" ht="15.75" thickBot="1" x14ac:dyDescent="0.3">
      <c r="A146" s="53" t="s">
        <v>107</v>
      </c>
      <c r="B146" s="54"/>
      <c r="C146" s="55" t="s">
        <v>2</v>
      </c>
      <c r="D146" s="55" t="s">
        <v>3</v>
      </c>
      <c r="E146" s="55" t="s">
        <v>4</v>
      </c>
      <c r="F146" s="55" t="s">
        <v>5</v>
      </c>
      <c r="G146" s="56" t="s">
        <v>1</v>
      </c>
      <c r="H146" s="55" t="s">
        <v>6</v>
      </c>
      <c r="I146" s="55" t="s">
        <v>7</v>
      </c>
      <c r="J146" s="55" t="s">
        <v>8</v>
      </c>
      <c r="K146" s="57" t="s">
        <v>9</v>
      </c>
    </row>
    <row r="147" spans="1:15" x14ac:dyDescent="0.25">
      <c r="A147" s="104" t="s">
        <v>108</v>
      </c>
      <c r="B147" s="126" t="s">
        <v>40</v>
      </c>
      <c r="C147" s="60"/>
      <c r="D147" s="60"/>
      <c r="E147" s="60"/>
      <c r="F147" s="60"/>
      <c r="G147" s="61"/>
      <c r="H147" s="131">
        <f>SUM(H148:H149)</f>
        <v>1.8199999999999998</v>
      </c>
      <c r="I147" s="62">
        <f>SUM(I148:I149)</f>
        <v>0.26389999999999997</v>
      </c>
      <c r="J147" s="60"/>
      <c r="K147" s="1"/>
      <c r="M147" s="408">
        <f>(0.14+0.13)</f>
        <v>0.27</v>
      </c>
      <c r="N147" s="409">
        <f>M147-I147</f>
        <v>6.1000000000000498E-3</v>
      </c>
      <c r="O147" s="396">
        <f>N147/M147</f>
        <v>2.2592592592592775E-2</v>
      </c>
    </row>
    <row r="148" spans="1:15" x14ac:dyDescent="0.25">
      <c r="A148" s="63" t="s">
        <v>89</v>
      </c>
      <c r="B148" s="64"/>
      <c r="C148" s="65">
        <v>0.87</v>
      </c>
      <c r="D148" s="73">
        <v>0.14499999999999999</v>
      </c>
      <c r="E148" s="65"/>
      <c r="F148" s="65"/>
      <c r="G148" s="81">
        <v>1</v>
      </c>
      <c r="H148" s="65">
        <f>C148*G148</f>
        <v>0.87</v>
      </c>
      <c r="I148" s="65">
        <f>H148*D148</f>
        <v>0.12614999999999998</v>
      </c>
      <c r="J148" s="73"/>
      <c r="K148" s="67"/>
      <c r="M148" s="397"/>
      <c r="N148" s="26" t="s">
        <v>49</v>
      </c>
      <c r="O148" s="398"/>
    </row>
    <row r="149" spans="1:15" ht="15.75" thickBot="1" x14ac:dyDescent="0.3">
      <c r="A149" s="84" t="s">
        <v>93</v>
      </c>
      <c r="B149" s="85"/>
      <c r="C149" s="86">
        <v>0.95</v>
      </c>
      <c r="D149" s="89">
        <v>0.14499999999999999</v>
      </c>
      <c r="E149" s="86"/>
      <c r="F149" s="86"/>
      <c r="G149" s="88">
        <v>1</v>
      </c>
      <c r="H149" s="86">
        <f>C149*G149</f>
        <v>0.95</v>
      </c>
      <c r="I149" s="86">
        <f>H149*D149</f>
        <v>0.13774999999999998</v>
      </c>
      <c r="J149" s="89"/>
      <c r="K149" s="90"/>
      <c r="M149" s="401"/>
      <c r="N149" s="402" t="s">
        <v>49</v>
      </c>
      <c r="O149" s="403"/>
    </row>
    <row r="150" spans="1:15" ht="15.75" thickBot="1" x14ac:dyDescent="0.3"/>
    <row r="151" spans="1:15" ht="15.75" thickBot="1" x14ac:dyDescent="0.3">
      <c r="A151" s="53" t="s">
        <v>109</v>
      </c>
      <c r="B151" s="54"/>
      <c r="C151" s="55" t="s">
        <v>2</v>
      </c>
      <c r="D151" s="55" t="s">
        <v>3</v>
      </c>
      <c r="E151" s="55" t="s">
        <v>110</v>
      </c>
      <c r="F151" s="55"/>
      <c r="G151" s="56" t="s">
        <v>1</v>
      </c>
      <c r="H151" s="55" t="s">
        <v>6</v>
      </c>
      <c r="I151" s="55" t="s">
        <v>7</v>
      </c>
      <c r="J151" s="55" t="s">
        <v>8</v>
      </c>
      <c r="K151" s="57" t="s">
        <v>9</v>
      </c>
    </row>
    <row r="152" spans="1:15" x14ac:dyDescent="0.25">
      <c r="A152" s="92" t="s">
        <v>111</v>
      </c>
      <c r="B152" s="125" t="s">
        <v>1</v>
      </c>
      <c r="C152" s="132">
        <v>0.8</v>
      </c>
      <c r="D152" s="94">
        <v>2.1</v>
      </c>
      <c r="E152" s="94"/>
      <c r="F152" s="94"/>
      <c r="G152" s="392">
        <v>1</v>
      </c>
      <c r="H152" s="94"/>
      <c r="I152" s="94">
        <f>G152*C152*D152*3</f>
        <v>5.0400000000000009</v>
      </c>
      <c r="J152" s="94"/>
      <c r="K152" s="133" t="s">
        <v>113</v>
      </c>
      <c r="M152" s="394">
        <v>1</v>
      </c>
      <c r="N152" s="395">
        <f>M152-G152</f>
        <v>0</v>
      </c>
      <c r="O152" s="396">
        <f>N152/M152</f>
        <v>0</v>
      </c>
    </row>
    <row r="153" spans="1:15" ht="39" thickBot="1" x14ac:dyDescent="0.3">
      <c r="A153" s="134" t="s">
        <v>112</v>
      </c>
      <c r="B153" s="135" t="s">
        <v>1</v>
      </c>
      <c r="C153" s="136">
        <v>1.0349999999999999</v>
      </c>
      <c r="D153" s="137">
        <v>2.2000000000000002</v>
      </c>
      <c r="E153" s="137"/>
      <c r="F153" s="137"/>
      <c r="G153" s="393">
        <v>1</v>
      </c>
      <c r="H153" s="137"/>
      <c r="I153" s="138">
        <f>G153*C153*D153*3</f>
        <v>6.8310000000000004</v>
      </c>
      <c r="J153" s="137"/>
      <c r="K153" s="139" t="s">
        <v>113</v>
      </c>
      <c r="M153" s="404">
        <v>1</v>
      </c>
      <c r="N153" s="405">
        <f>M153-G153</f>
        <v>0</v>
      </c>
      <c r="O153" s="406">
        <f>N153/M153</f>
        <v>0</v>
      </c>
    </row>
    <row r="154" spans="1:15" ht="15.75" thickBot="1" x14ac:dyDescent="0.3"/>
    <row r="155" spans="1:15" ht="15.75" thickBot="1" x14ac:dyDescent="0.3">
      <c r="A155" s="53" t="s">
        <v>114</v>
      </c>
      <c r="B155" s="54"/>
      <c r="C155" s="55" t="s">
        <v>2</v>
      </c>
      <c r="D155" s="55" t="s">
        <v>3</v>
      </c>
      <c r="E155" s="55" t="s">
        <v>4</v>
      </c>
      <c r="F155" s="55" t="s">
        <v>5</v>
      </c>
      <c r="G155" s="56" t="s">
        <v>1</v>
      </c>
      <c r="H155" s="55" t="s">
        <v>6</v>
      </c>
      <c r="I155" s="55" t="s">
        <v>7</v>
      </c>
      <c r="J155" s="55" t="s">
        <v>8</v>
      </c>
      <c r="K155" s="57" t="s">
        <v>9</v>
      </c>
    </row>
    <row r="156" spans="1:15" x14ac:dyDescent="0.25">
      <c r="A156" s="92" t="s">
        <v>116</v>
      </c>
      <c r="B156" s="126" t="s">
        <v>1</v>
      </c>
      <c r="C156" s="94"/>
      <c r="D156" s="94"/>
      <c r="E156" s="94"/>
      <c r="F156" s="94"/>
      <c r="G156" s="141">
        <f>SUM(G157:G158)</f>
        <v>2</v>
      </c>
      <c r="H156" s="94"/>
      <c r="I156" s="60">
        <f>SUM(I157:I158)</f>
        <v>0.9</v>
      </c>
      <c r="J156" s="94"/>
      <c r="K156" s="98"/>
      <c r="M156" s="394">
        <v>2</v>
      </c>
      <c r="N156" s="395">
        <f>M156-G156</f>
        <v>0</v>
      </c>
      <c r="O156" s="396">
        <f>N156/M156</f>
        <v>0</v>
      </c>
    </row>
    <row r="157" spans="1:15" x14ac:dyDescent="0.25">
      <c r="A157" s="123" t="s">
        <v>90</v>
      </c>
      <c r="B157" s="127"/>
      <c r="C157" s="65">
        <v>0.5</v>
      </c>
      <c r="D157" s="65">
        <v>0.9</v>
      </c>
      <c r="E157" s="83"/>
      <c r="F157" s="83"/>
      <c r="G157" s="81">
        <v>1</v>
      </c>
      <c r="H157" s="65"/>
      <c r="I157" s="65">
        <f>C157*D157</f>
        <v>0.45</v>
      </c>
      <c r="J157" s="83"/>
      <c r="K157" s="67"/>
      <c r="M157" s="397"/>
      <c r="N157" s="149" t="s">
        <v>49</v>
      </c>
      <c r="O157" s="398"/>
    </row>
    <row r="158" spans="1:15" ht="15.75" thickBot="1" x14ac:dyDescent="0.3">
      <c r="A158" s="128" t="s">
        <v>117</v>
      </c>
      <c r="B158" s="129"/>
      <c r="C158" s="86">
        <v>0.5</v>
      </c>
      <c r="D158" s="86">
        <v>0.9</v>
      </c>
      <c r="E158" s="87"/>
      <c r="F158" s="87"/>
      <c r="G158" s="88">
        <v>1</v>
      </c>
      <c r="H158" s="86"/>
      <c r="I158" s="86">
        <f>C158*D158</f>
        <v>0.45</v>
      </c>
      <c r="J158" s="87"/>
      <c r="K158" s="90"/>
      <c r="M158" s="401"/>
      <c r="N158" s="407" t="s">
        <v>49</v>
      </c>
      <c r="O158" s="403"/>
    </row>
    <row r="159" spans="1:15" ht="15.75" thickBot="1" x14ac:dyDescent="0.3"/>
    <row r="160" spans="1:15" ht="15.75" thickBot="1" x14ac:dyDescent="0.3">
      <c r="A160" s="53" t="s">
        <v>118</v>
      </c>
      <c r="B160" s="54"/>
      <c r="C160" s="55" t="s">
        <v>2</v>
      </c>
      <c r="D160" s="55" t="s">
        <v>3</v>
      </c>
      <c r="E160" s="55" t="s">
        <v>4</v>
      </c>
      <c r="F160" s="55" t="s">
        <v>5</v>
      </c>
      <c r="G160" s="56" t="s">
        <v>1</v>
      </c>
      <c r="H160" s="55" t="s">
        <v>6</v>
      </c>
      <c r="I160" s="55" t="s">
        <v>7</v>
      </c>
      <c r="J160" s="55" t="s">
        <v>8</v>
      </c>
      <c r="K160" s="57" t="s">
        <v>9</v>
      </c>
    </row>
    <row r="161" spans="1:15" ht="25.5" x14ac:dyDescent="0.25">
      <c r="A161" s="104" t="s">
        <v>119</v>
      </c>
      <c r="B161" s="126" t="s">
        <v>1</v>
      </c>
      <c r="C161" s="60"/>
      <c r="D161" s="60"/>
      <c r="E161" s="60"/>
      <c r="F161" s="60"/>
      <c r="G161" s="141">
        <f>G162+G163</f>
        <v>2</v>
      </c>
      <c r="H161" s="60"/>
      <c r="I161" s="60"/>
      <c r="J161" s="60"/>
      <c r="K161" s="1"/>
      <c r="M161" s="394">
        <v>2</v>
      </c>
      <c r="N161" s="395">
        <f>M161-G161</f>
        <v>0</v>
      </c>
      <c r="O161" s="396">
        <f>N161/M161</f>
        <v>0</v>
      </c>
    </row>
    <row r="162" spans="1:15" x14ac:dyDescent="0.25">
      <c r="A162" s="123" t="s">
        <v>80</v>
      </c>
      <c r="B162" s="127"/>
      <c r="C162" s="65"/>
      <c r="D162" s="83"/>
      <c r="E162" s="83"/>
      <c r="F162" s="83"/>
      <c r="G162" s="81">
        <v>1</v>
      </c>
      <c r="H162" s="65"/>
      <c r="I162" s="65"/>
      <c r="J162" s="83"/>
      <c r="K162" s="67"/>
      <c r="M162" s="397"/>
      <c r="N162" s="26" t="s">
        <v>49</v>
      </c>
      <c r="O162" s="398"/>
    </row>
    <row r="163" spans="1:15" x14ac:dyDescent="0.25">
      <c r="A163" s="150" t="s">
        <v>81</v>
      </c>
      <c r="B163" s="151"/>
      <c r="C163" s="75"/>
      <c r="D163" s="152"/>
      <c r="E163" s="152"/>
      <c r="F163" s="152"/>
      <c r="G163" s="76">
        <v>1</v>
      </c>
      <c r="H163" s="75"/>
      <c r="I163" s="75"/>
      <c r="J163" s="152"/>
      <c r="K163" s="77"/>
      <c r="M163" s="397"/>
      <c r="N163" s="26" t="s">
        <v>49</v>
      </c>
      <c r="O163" s="398"/>
    </row>
    <row r="164" spans="1:15" ht="25.5" x14ac:dyDescent="0.25">
      <c r="A164" s="104" t="s">
        <v>120</v>
      </c>
      <c r="B164" s="126" t="s">
        <v>1</v>
      </c>
      <c r="C164" s="60"/>
      <c r="D164" s="60"/>
      <c r="E164" s="60"/>
      <c r="F164" s="60"/>
      <c r="G164" s="141">
        <f>G165+G166</f>
        <v>2</v>
      </c>
      <c r="H164" s="60"/>
      <c r="I164" s="60"/>
      <c r="J164" s="60"/>
      <c r="K164" s="1"/>
      <c r="M164" s="399">
        <v>2</v>
      </c>
      <c r="N164" s="140">
        <f>M164-G164</f>
        <v>0</v>
      </c>
      <c r="O164" s="400">
        <f>N164/M164</f>
        <v>0</v>
      </c>
    </row>
    <row r="165" spans="1:15" x14ac:dyDescent="0.25">
      <c r="A165" s="123" t="s">
        <v>80</v>
      </c>
      <c r="B165" s="127"/>
      <c r="C165" s="65"/>
      <c r="D165" s="83"/>
      <c r="E165" s="83"/>
      <c r="F165" s="83"/>
      <c r="G165" s="81">
        <v>1</v>
      </c>
      <c r="H165" s="65"/>
      <c r="I165" s="65"/>
      <c r="J165" s="83"/>
      <c r="K165" s="67"/>
      <c r="M165" s="397"/>
      <c r="N165" s="26" t="s">
        <v>49</v>
      </c>
      <c r="O165" s="398"/>
    </row>
    <row r="166" spans="1:15" x14ac:dyDescent="0.25">
      <c r="A166" s="150" t="s">
        <v>81</v>
      </c>
      <c r="B166" s="151"/>
      <c r="C166" s="75"/>
      <c r="D166" s="152"/>
      <c r="E166" s="152"/>
      <c r="F166" s="152"/>
      <c r="G166" s="76">
        <v>1</v>
      </c>
      <c r="H166" s="75"/>
      <c r="I166" s="75"/>
      <c r="J166" s="152"/>
      <c r="K166" s="77"/>
      <c r="M166" s="397"/>
      <c r="N166" s="26" t="s">
        <v>49</v>
      </c>
      <c r="O166" s="398"/>
    </row>
    <row r="167" spans="1:15" ht="38.25" x14ac:dyDescent="0.25">
      <c r="A167" s="104" t="s">
        <v>121</v>
      </c>
      <c r="B167" s="126" t="s">
        <v>1</v>
      </c>
      <c r="C167" s="60"/>
      <c r="D167" s="60"/>
      <c r="E167" s="60"/>
      <c r="F167" s="60"/>
      <c r="G167" s="141">
        <f>G168+G169</f>
        <v>2</v>
      </c>
      <c r="H167" s="60"/>
      <c r="I167" s="60"/>
      <c r="J167" s="60"/>
      <c r="K167" s="1"/>
      <c r="M167" s="399">
        <v>2</v>
      </c>
      <c r="N167" s="140">
        <f>M167-G167</f>
        <v>0</v>
      </c>
      <c r="O167" s="400">
        <f>N167/M167</f>
        <v>0</v>
      </c>
    </row>
    <row r="168" spans="1:15" x14ac:dyDescent="0.25">
      <c r="A168" s="123" t="s">
        <v>80</v>
      </c>
      <c r="B168" s="127"/>
      <c r="C168" s="65"/>
      <c r="D168" s="83"/>
      <c r="E168" s="83"/>
      <c r="F168" s="83"/>
      <c r="G168" s="81">
        <v>1</v>
      </c>
      <c r="H168" s="65"/>
      <c r="I168" s="65"/>
      <c r="J168" s="83"/>
      <c r="K168" s="67"/>
      <c r="M168" s="397"/>
      <c r="N168" s="26" t="s">
        <v>49</v>
      </c>
      <c r="O168" s="398"/>
    </row>
    <row r="169" spans="1:15" x14ac:dyDescent="0.25">
      <c r="A169" s="150" t="s">
        <v>81</v>
      </c>
      <c r="B169" s="151"/>
      <c r="C169" s="75"/>
      <c r="D169" s="152"/>
      <c r="E169" s="152"/>
      <c r="F169" s="152"/>
      <c r="G169" s="76">
        <v>1</v>
      </c>
      <c r="H169" s="75"/>
      <c r="I169" s="75"/>
      <c r="J169" s="152"/>
      <c r="K169" s="77"/>
      <c r="M169" s="397"/>
      <c r="N169" s="26" t="s">
        <v>49</v>
      </c>
      <c r="O169" s="398"/>
    </row>
    <row r="170" spans="1:15" ht="25.5" x14ac:dyDescent="0.25">
      <c r="A170" s="104" t="s">
        <v>131</v>
      </c>
      <c r="B170" s="126" t="s">
        <v>1</v>
      </c>
      <c r="C170" s="60"/>
      <c r="D170" s="60"/>
      <c r="E170" s="60"/>
      <c r="F170" s="60"/>
      <c r="G170" s="141">
        <f>G171+G172</f>
        <v>1</v>
      </c>
      <c r="H170" s="60"/>
      <c r="I170" s="60"/>
      <c r="J170" s="60"/>
      <c r="K170" s="1"/>
      <c r="M170" s="399">
        <v>1</v>
      </c>
      <c r="N170" s="140">
        <f>M170-G170</f>
        <v>0</v>
      </c>
      <c r="O170" s="400">
        <f>N170/M170</f>
        <v>0</v>
      </c>
    </row>
    <row r="171" spans="1:15" x14ac:dyDescent="0.25">
      <c r="A171" s="123" t="s">
        <v>80</v>
      </c>
      <c r="B171" s="127"/>
      <c r="C171" s="65"/>
      <c r="D171" s="83"/>
      <c r="E171" s="83"/>
      <c r="F171" s="83"/>
      <c r="G171" s="81"/>
      <c r="H171" s="65"/>
      <c r="I171" s="65"/>
      <c r="J171" s="83"/>
      <c r="K171" s="67"/>
      <c r="M171" s="397"/>
      <c r="N171" s="26" t="s">
        <v>49</v>
      </c>
      <c r="O171" s="398"/>
    </row>
    <row r="172" spans="1:15" x14ac:dyDescent="0.25">
      <c r="A172" s="150" t="s">
        <v>81</v>
      </c>
      <c r="B172" s="151"/>
      <c r="C172" s="75"/>
      <c r="D172" s="152"/>
      <c r="E172" s="152"/>
      <c r="F172" s="152"/>
      <c r="G172" s="76">
        <v>1</v>
      </c>
      <c r="H172" s="75"/>
      <c r="I172" s="75"/>
      <c r="J172" s="152"/>
      <c r="K172" s="77"/>
      <c r="M172" s="397"/>
      <c r="N172" s="26" t="s">
        <v>49</v>
      </c>
      <c r="O172" s="398"/>
    </row>
    <row r="173" spans="1:15" ht="25.5" x14ac:dyDescent="0.25">
      <c r="A173" s="104" t="s">
        <v>122</v>
      </c>
      <c r="B173" s="126" t="s">
        <v>1</v>
      </c>
      <c r="C173" s="60"/>
      <c r="D173" s="60"/>
      <c r="E173" s="60"/>
      <c r="F173" s="60"/>
      <c r="G173" s="141">
        <f>G174+G175</f>
        <v>2</v>
      </c>
      <c r="H173" s="60"/>
      <c r="I173" s="60"/>
      <c r="J173" s="60"/>
      <c r="K173" s="1"/>
      <c r="M173" s="399">
        <v>2</v>
      </c>
      <c r="N173" s="140">
        <f>M173-G173</f>
        <v>0</v>
      </c>
      <c r="O173" s="400">
        <f>N173/M173</f>
        <v>0</v>
      </c>
    </row>
    <row r="174" spans="1:15" x14ac:dyDescent="0.25">
      <c r="A174" s="123" t="s">
        <v>80</v>
      </c>
      <c r="B174" s="127"/>
      <c r="C174" s="65"/>
      <c r="D174" s="83"/>
      <c r="E174" s="83"/>
      <c r="F174" s="83"/>
      <c r="G174" s="81">
        <v>1</v>
      </c>
      <c r="H174" s="65"/>
      <c r="I174" s="65"/>
      <c r="J174" s="83"/>
      <c r="K174" s="67"/>
      <c r="M174" s="397"/>
      <c r="N174" s="26" t="s">
        <v>49</v>
      </c>
      <c r="O174" s="398"/>
    </row>
    <row r="175" spans="1:15" x14ac:dyDescent="0.25">
      <c r="A175" s="150" t="s">
        <v>81</v>
      </c>
      <c r="B175" s="151"/>
      <c r="C175" s="75"/>
      <c r="D175" s="152"/>
      <c r="E175" s="152"/>
      <c r="F175" s="152"/>
      <c r="G175" s="76">
        <v>1</v>
      </c>
      <c r="H175" s="75"/>
      <c r="I175" s="75"/>
      <c r="J175" s="152"/>
      <c r="K175" s="77"/>
      <c r="M175" s="397"/>
      <c r="N175" s="26" t="s">
        <v>49</v>
      </c>
      <c r="O175" s="398"/>
    </row>
    <row r="176" spans="1:15" ht="38.25" x14ac:dyDescent="0.25">
      <c r="A176" s="104" t="s">
        <v>123</v>
      </c>
      <c r="B176" s="126" t="s">
        <v>1</v>
      </c>
      <c r="C176" s="60"/>
      <c r="D176" s="60"/>
      <c r="E176" s="60"/>
      <c r="F176" s="60"/>
      <c r="G176" s="141">
        <f>G177+G178</f>
        <v>1</v>
      </c>
      <c r="H176" s="60"/>
      <c r="I176" s="60"/>
      <c r="J176" s="60"/>
      <c r="K176" s="1"/>
      <c r="M176" s="399">
        <v>1</v>
      </c>
      <c r="N176" s="140">
        <f>M176-G176</f>
        <v>0</v>
      </c>
      <c r="O176" s="400">
        <f>N176/M176</f>
        <v>0</v>
      </c>
    </row>
    <row r="177" spans="1:15" x14ac:dyDescent="0.25">
      <c r="A177" s="123" t="s">
        <v>80</v>
      </c>
      <c r="B177" s="127"/>
      <c r="C177" s="65"/>
      <c r="D177" s="83"/>
      <c r="E177" s="83"/>
      <c r="F177" s="83"/>
      <c r="G177" s="81"/>
      <c r="H177" s="65"/>
      <c r="I177" s="65"/>
      <c r="J177" s="83"/>
      <c r="K177" s="67"/>
      <c r="M177" s="397"/>
      <c r="N177" s="26" t="s">
        <v>49</v>
      </c>
      <c r="O177" s="398"/>
    </row>
    <row r="178" spans="1:15" x14ac:dyDescent="0.25">
      <c r="A178" s="150" t="s">
        <v>81</v>
      </c>
      <c r="B178" s="151"/>
      <c r="C178" s="75"/>
      <c r="D178" s="152"/>
      <c r="E178" s="152"/>
      <c r="F178" s="152"/>
      <c r="G178" s="76">
        <v>1</v>
      </c>
      <c r="H178" s="75"/>
      <c r="I178" s="75"/>
      <c r="J178" s="152"/>
      <c r="K178" s="77"/>
      <c r="M178" s="397"/>
      <c r="N178" s="26" t="s">
        <v>49</v>
      </c>
      <c r="O178" s="398"/>
    </row>
    <row r="179" spans="1:15" x14ac:dyDescent="0.25">
      <c r="A179" s="104" t="s">
        <v>124</v>
      </c>
      <c r="B179" s="126" t="s">
        <v>1</v>
      </c>
      <c r="C179" s="60"/>
      <c r="D179" s="60"/>
      <c r="E179" s="60"/>
      <c r="F179" s="60"/>
      <c r="G179" s="141">
        <f>G180+G181</f>
        <v>2</v>
      </c>
      <c r="H179" s="60"/>
      <c r="I179" s="60"/>
      <c r="J179" s="60"/>
      <c r="K179" s="1"/>
      <c r="M179" s="399">
        <v>2</v>
      </c>
      <c r="N179" s="140">
        <f>M179-G179</f>
        <v>0</v>
      </c>
      <c r="O179" s="400">
        <f>N179/M179</f>
        <v>0</v>
      </c>
    </row>
    <row r="180" spans="1:15" x14ac:dyDescent="0.25">
      <c r="A180" s="123" t="s">
        <v>80</v>
      </c>
      <c r="B180" s="127"/>
      <c r="C180" s="65"/>
      <c r="D180" s="83"/>
      <c r="E180" s="83"/>
      <c r="F180" s="83"/>
      <c r="G180" s="81">
        <v>1</v>
      </c>
      <c r="H180" s="65"/>
      <c r="I180" s="65"/>
      <c r="J180" s="83"/>
      <c r="K180" s="67"/>
      <c r="M180" s="397"/>
      <c r="N180" s="26" t="s">
        <v>49</v>
      </c>
      <c r="O180" s="398"/>
    </row>
    <row r="181" spans="1:15" x14ac:dyDescent="0.25">
      <c r="A181" s="150" t="s">
        <v>81</v>
      </c>
      <c r="B181" s="151"/>
      <c r="C181" s="75"/>
      <c r="D181" s="152"/>
      <c r="E181" s="152"/>
      <c r="F181" s="152"/>
      <c r="G181" s="76">
        <v>1</v>
      </c>
      <c r="H181" s="75"/>
      <c r="I181" s="75"/>
      <c r="J181" s="152"/>
      <c r="K181" s="77"/>
      <c r="M181" s="397"/>
      <c r="N181" s="26" t="s">
        <v>49</v>
      </c>
      <c r="O181" s="398"/>
    </row>
    <row r="182" spans="1:15" ht="25.5" x14ac:dyDescent="0.25">
      <c r="A182" s="104" t="s">
        <v>125</v>
      </c>
      <c r="B182" s="126" t="s">
        <v>1</v>
      </c>
      <c r="C182" s="60"/>
      <c r="D182" s="60"/>
      <c r="E182" s="60"/>
      <c r="F182" s="60"/>
      <c r="G182" s="141">
        <f>G183+G184</f>
        <v>2</v>
      </c>
      <c r="H182" s="60"/>
      <c r="I182" s="60"/>
      <c r="J182" s="60"/>
      <c r="K182" s="1"/>
      <c r="M182" s="399">
        <v>2</v>
      </c>
      <c r="N182" s="140">
        <f>M182-G182</f>
        <v>0</v>
      </c>
      <c r="O182" s="400">
        <f>N182/M182</f>
        <v>0</v>
      </c>
    </row>
    <row r="183" spans="1:15" x14ac:dyDescent="0.25">
      <c r="A183" s="123" t="s">
        <v>80</v>
      </c>
      <c r="B183" s="127"/>
      <c r="C183" s="65"/>
      <c r="D183" s="83"/>
      <c r="E183" s="83"/>
      <c r="F183" s="83"/>
      <c r="G183" s="81">
        <v>1</v>
      </c>
      <c r="H183" s="65"/>
      <c r="I183" s="65"/>
      <c r="J183" s="83"/>
      <c r="K183" s="67"/>
      <c r="M183" s="397"/>
      <c r="N183" s="26" t="s">
        <v>49</v>
      </c>
      <c r="O183" s="398"/>
    </row>
    <row r="184" spans="1:15" x14ac:dyDescent="0.25">
      <c r="A184" s="150" t="s">
        <v>81</v>
      </c>
      <c r="B184" s="151"/>
      <c r="C184" s="75"/>
      <c r="D184" s="152"/>
      <c r="E184" s="152"/>
      <c r="F184" s="152"/>
      <c r="G184" s="76">
        <v>1</v>
      </c>
      <c r="H184" s="75"/>
      <c r="I184" s="75"/>
      <c r="J184" s="152"/>
      <c r="K184" s="77"/>
      <c r="M184" s="397"/>
      <c r="N184" s="26" t="s">
        <v>49</v>
      </c>
      <c r="O184" s="398"/>
    </row>
    <row r="185" spans="1:15" ht="25.5" x14ac:dyDescent="0.25">
      <c r="A185" s="104" t="s">
        <v>126</v>
      </c>
      <c r="B185" s="126" t="s">
        <v>1</v>
      </c>
      <c r="C185" s="60"/>
      <c r="D185" s="60"/>
      <c r="E185" s="60"/>
      <c r="F185" s="60"/>
      <c r="G185" s="141">
        <f>G186+G187</f>
        <v>2</v>
      </c>
      <c r="H185" s="60"/>
      <c r="I185" s="60"/>
      <c r="J185" s="60"/>
      <c r="K185" s="1"/>
      <c r="M185" s="399">
        <v>2</v>
      </c>
      <c r="N185" s="140">
        <f>M185-G185</f>
        <v>0</v>
      </c>
      <c r="O185" s="400">
        <f>N185/M185</f>
        <v>0</v>
      </c>
    </row>
    <row r="186" spans="1:15" x14ac:dyDescent="0.25">
      <c r="A186" s="123" t="s">
        <v>80</v>
      </c>
      <c r="B186" s="127"/>
      <c r="C186" s="65"/>
      <c r="D186" s="83"/>
      <c r="E186" s="83"/>
      <c r="F186" s="83"/>
      <c r="G186" s="81">
        <v>2</v>
      </c>
      <c r="H186" s="65"/>
      <c r="I186" s="65"/>
      <c r="J186" s="83"/>
      <c r="K186" s="67"/>
      <c r="M186" s="397"/>
      <c r="N186" s="26" t="s">
        <v>49</v>
      </c>
      <c r="O186" s="398"/>
    </row>
    <row r="187" spans="1:15" x14ac:dyDescent="0.25">
      <c r="A187" s="150" t="s">
        <v>81</v>
      </c>
      <c r="B187" s="151"/>
      <c r="C187" s="75"/>
      <c r="D187" s="152"/>
      <c r="E187" s="152"/>
      <c r="F187" s="152"/>
      <c r="G187" s="76">
        <v>0</v>
      </c>
      <c r="H187" s="75"/>
      <c r="I187" s="75"/>
      <c r="J187" s="152"/>
      <c r="K187" s="77"/>
      <c r="M187" s="397"/>
      <c r="N187" s="26" t="s">
        <v>49</v>
      </c>
      <c r="O187" s="398"/>
    </row>
    <row r="188" spans="1:15" ht="51" x14ac:dyDescent="0.25">
      <c r="A188" s="104" t="s">
        <v>127</v>
      </c>
      <c r="B188" s="126" t="s">
        <v>1</v>
      </c>
      <c r="C188" s="60"/>
      <c r="D188" s="60"/>
      <c r="E188" s="60"/>
      <c r="F188" s="60"/>
      <c r="G188" s="141">
        <f>G189+G190</f>
        <v>1</v>
      </c>
      <c r="H188" s="60"/>
      <c r="I188" s="60"/>
      <c r="J188" s="60"/>
      <c r="K188" s="1"/>
      <c r="M188" s="399">
        <v>1</v>
      </c>
      <c r="N188" s="140">
        <f>M188-G188</f>
        <v>0</v>
      </c>
      <c r="O188" s="400">
        <f>N188/M188</f>
        <v>0</v>
      </c>
    </row>
    <row r="189" spans="1:15" x14ac:dyDescent="0.25">
      <c r="A189" s="123" t="s">
        <v>80</v>
      </c>
      <c r="B189" s="127"/>
      <c r="C189" s="65"/>
      <c r="D189" s="83"/>
      <c r="E189" s="83"/>
      <c r="F189" s="83"/>
      <c r="G189" s="81">
        <v>1</v>
      </c>
      <c r="H189" s="65"/>
      <c r="I189" s="65"/>
      <c r="J189" s="83"/>
      <c r="K189" s="67"/>
      <c r="M189" s="397"/>
      <c r="N189" s="26" t="s">
        <v>49</v>
      </c>
      <c r="O189" s="398"/>
    </row>
    <row r="190" spans="1:15" x14ac:dyDescent="0.25">
      <c r="A190" s="150" t="s">
        <v>81</v>
      </c>
      <c r="B190" s="151"/>
      <c r="C190" s="75"/>
      <c r="D190" s="152"/>
      <c r="E190" s="152"/>
      <c r="F190" s="152"/>
      <c r="G190" s="76">
        <v>0</v>
      </c>
      <c r="H190" s="75"/>
      <c r="I190" s="75"/>
      <c r="J190" s="152"/>
      <c r="K190" s="77"/>
      <c r="M190" s="397"/>
      <c r="N190" s="26" t="s">
        <v>49</v>
      </c>
      <c r="O190" s="398"/>
    </row>
    <row r="191" spans="1:15" ht="25.5" x14ac:dyDescent="0.25">
      <c r="A191" s="104" t="s">
        <v>128</v>
      </c>
      <c r="B191" s="126" t="s">
        <v>1</v>
      </c>
      <c r="C191" s="60"/>
      <c r="D191" s="60"/>
      <c r="E191" s="60"/>
      <c r="F191" s="60"/>
      <c r="G191" s="141">
        <f>G192+G193</f>
        <v>1</v>
      </c>
      <c r="H191" s="60"/>
      <c r="I191" s="60"/>
      <c r="J191" s="60"/>
      <c r="K191" s="1"/>
      <c r="M191" s="399">
        <v>1</v>
      </c>
      <c r="N191" s="140">
        <f>M191-G191</f>
        <v>0</v>
      </c>
      <c r="O191" s="400">
        <f>N191/M191</f>
        <v>0</v>
      </c>
    </row>
    <row r="192" spans="1:15" x14ac:dyDescent="0.25">
      <c r="A192" s="123" t="s">
        <v>80</v>
      </c>
      <c r="B192" s="127"/>
      <c r="C192" s="65"/>
      <c r="D192" s="83"/>
      <c r="E192" s="83"/>
      <c r="F192" s="83"/>
      <c r="G192" s="81">
        <v>1</v>
      </c>
      <c r="H192" s="65"/>
      <c r="I192" s="65"/>
      <c r="J192" s="83"/>
      <c r="K192" s="67"/>
      <c r="M192" s="397"/>
      <c r="N192" s="26" t="s">
        <v>49</v>
      </c>
      <c r="O192" s="398"/>
    </row>
    <row r="193" spans="1:15" x14ac:dyDescent="0.25">
      <c r="A193" s="150" t="s">
        <v>81</v>
      </c>
      <c r="B193" s="151"/>
      <c r="C193" s="75"/>
      <c r="D193" s="152"/>
      <c r="E193" s="152"/>
      <c r="F193" s="152"/>
      <c r="G193" s="76">
        <v>0</v>
      </c>
      <c r="H193" s="75"/>
      <c r="I193" s="75"/>
      <c r="J193" s="152"/>
      <c r="K193" s="77"/>
      <c r="M193" s="397"/>
      <c r="N193" s="26" t="s">
        <v>49</v>
      </c>
      <c r="O193" s="398"/>
    </row>
    <row r="194" spans="1:15" ht="25.5" x14ac:dyDescent="0.25">
      <c r="A194" s="104" t="s">
        <v>129</v>
      </c>
      <c r="B194" s="126" t="s">
        <v>1</v>
      </c>
      <c r="C194" s="60"/>
      <c r="D194" s="60"/>
      <c r="E194" s="60"/>
      <c r="F194" s="60"/>
      <c r="G194" s="141">
        <f>G195+G196</f>
        <v>1</v>
      </c>
      <c r="H194" s="60"/>
      <c r="I194" s="60"/>
      <c r="J194" s="60"/>
      <c r="K194" s="1"/>
      <c r="M194" s="399">
        <v>1</v>
      </c>
      <c r="N194" s="140">
        <f>M194-G194</f>
        <v>0</v>
      </c>
      <c r="O194" s="400">
        <f>N194/M194</f>
        <v>0</v>
      </c>
    </row>
    <row r="195" spans="1:15" x14ac:dyDescent="0.25">
      <c r="A195" s="123" t="s">
        <v>80</v>
      </c>
      <c r="B195" s="127"/>
      <c r="C195" s="65"/>
      <c r="D195" s="83"/>
      <c r="E195" s="83"/>
      <c r="F195" s="83"/>
      <c r="G195" s="81">
        <v>1</v>
      </c>
      <c r="H195" s="65"/>
      <c r="I195" s="65"/>
      <c r="J195" s="83"/>
      <c r="K195" s="67"/>
      <c r="M195" s="397"/>
      <c r="N195" s="26" t="s">
        <v>49</v>
      </c>
      <c r="O195" s="398"/>
    </row>
    <row r="196" spans="1:15" x14ac:dyDescent="0.25">
      <c r="A196" s="150" t="s">
        <v>81</v>
      </c>
      <c r="B196" s="151"/>
      <c r="C196" s="75"/>
      <c r="D196" s="152"/>
      <c r="E196" s="152"/>
      <c r="F196" s="152"/>
      <c r="G196" s="76">
        <v>0</v>
      </c>
      <c r="H196" s="75"/>
      <c r="I196" s="75"/>
      <c r="J196" s="152"/>
      <c r="K196" s="77"/>
      <c r="M196" s="397"/>
      <c r="N196" s="26" t="s">
        <v>49</v>
      </c>
      <c r="O196" s="398"/>
    </row>
    <row r="197" spans="1:15" ht="25.5" x14ac:dyDescent="0.25">
      <c r="A197" s="104" t="s">
        <v>130</v>
      </c>
      <c r="B197" s="126" t="s">
        <v>1</v>
      </c>
      <c r="C197" s="60"/>
      <c r="D197" s="60"/>
      <c r="E197" s="60"/>
      <c r="F197" s="60"/>
      <c r="G197" s="141">
        <f>G198+G199</f>
        <v>1</v>
      </c>
      <c r="H197" s="60"/>
      <c r="I197" s="60"/>
      <c r="J197" s="60"/>
      <c r="K197" s="1"/>
      <c r="M197" s="399">
        <v>1</v>
      </c>
      <c r="N197" s="140">
        <f>M197-G197</f>
        <v>0</v>
      </c>
      <c r="O197" s="400">
        <f>N197/M197</f>
        <v>0</v>
      </c>
    </row>
    <row r="198" spans="1:15" x14ac:dyDescent="0.25">
      <c r="A198" s="123" t="s">
        <v>80</v>
      </c>
      <c r="B198" s="127"/>
      <c r="C198" s="65"/>
      <c r="D198" s="83"/>
      <c r="E198" s="83"/>
      <c r="F198" s="83"/>
      <c r="G198" s="81">
        <v>1</v>
      </c>
      <c r="H198" s="65"/>
      <c r="I198" s="65"/>
      <c r="J198" s="83"/>
      <c r="K198" s="67"/>
      <c r="M198" s="397"/>
      <c r="N198" s="26" t="s">
        <v>49</v>
      </c>
      <c r="O198" s="398"/>
    </row>
    <row r="199" spans="1:15" x14ac:dyDescent="0.25">
      <c r="A199" s="150" t="s">
        <v>81</v>
      </c>
      <c r="B199" s="151"/>
      <c r="C199" s="75"/>
      <c r="D199" s="152"/>
      <c r="E199" s="152"/>
      <c r="F199" s="152"/>
      <c r="G199" s="76">
        <v>0</v>
      </c>
      <c r="H199" s="75"/>
      <c r="I199" s="75"/>
      <c r="J199" s="152"/>
      <c r="K199" s="77"/>
      <c r="M199" s="397"/>
      <c r="N199" s="26" t="s">
        <v>49</v>
      </c>
      <c r="O199" s="398"/>
    </row>
    <row r="200" spans="1:15" ht="25.5" x14ac:dyDescent="0.25">
      <c r="A200" s="104" t="s">
        <v>132</v>
      </c>
      <c r="B200" s="126" t="s">
        <v>1</v>
      </c>
      <c r="C200" s="60"/>
      <c r="D200" s="60"/>
      <c r="E200" s="60"/>
      <c r="F200" s="60"/>
      <c r="G200" s="141">
        <f>G201+G202</f>
        <v>1</v>
      </c>
      <c r="H200" s="60"/>
      <c r="I200" s="60"/>
      <c r="J200" s="60"/>
      <c r="K200" s="1"/>
      <c r="M200" s="399">
        <v>1</v>
      </c>
      <c r="N200" s="140">
        <f>M200-G200</f>
        <v>0</v>
      </c>
      <c r="O200" s="400">
        <f>N200/M200</f>
        <v>0</v>
      </c>
    </row>
    <row r="201" spans="1:15" x14ac:dyDescent="0.25">
      <c r="A201" s="123" t="s">
        <v>80</v>
      </c>
      <c r="B201" s="127"/>
      <c r="C201" s="65"/>
      <c r="D201" s="83"/>
      <c r="E201" s="83"/>
      <c r="F201" s="83"/>
      <c r="G201" s="81">
        <v>1</v>
      </c>
      <c r="H201" s="65"/>
      <c r="I201" s="65"/>
      <c r="J201" s="83"/>
      <c r="K201" s="67"/>
      <c r="M201" s="397"/>
      <c r="N201" s="26" t="s">
        <v>49</v>
      </c>
      <c r="O201" s="398"/>
    </row>
    <row r="202" spans="1:15" x14ac:dyDescent="0.25">
      <c r="A202" s="150" t="s">
        <v>81</v>
      </c>
      <c r="B202" s="151"/>
      <c r="C202" s="75"/>
      <c r="D202" s="152"/>
      <c r="E202" s="152"/>
      <c r="F202" s="152"/>
      <c r="G202" s="76">
        <v>0</v>
      </c>
      <c r="H202" s="75"/>
      <c r="I202" s="75"/>
      <c r="J202" s="152"/>
      <c r="K202" s="77"/>
      <c r="M202" s="397"/>
      <c r="N202" s="26" t="s">
        <v>49</v>
      </c>
      <c r="O202" s="398"/>
    </row>
    <row r="203" spans="1:15" ht="38.25" x14ac:dyDescent="0.25">
      <c r="A203" s="104" t="s">
        <v>133</v>
      </c>
      <c r="B203" s="126" t="s">
        <v>1</v>
      </c>
      <c r="C203" s="60"/>
      <c r="D203" s="60"/>
      <c r="E203" s="60"/>
      <c r="F203" s="60"/>
      <c r="G203" s="141">
        <f>G204+G205</f>
        <v>2</v>
      </c>
      <c r="H203" s="60"/>
      <c r="I203" s="60"/>
      <c r="J203" s="60"/>
      <c r="K203" s="1"/>
      <c r="M203" s="399">
        <v>2</v>
      </c>
      <c r="N203" s="140">
        <f>M203-G203</f>
        <v>0</v>
      </c>
      <c r="O203" s="400">
        <f>N203/M203</f>
        <v>0</v>
      </c>
    </row>
    <row r="204" spans="1:15" x14ac:dyDescent="0.25">
      <c r="A204" s="123" t="s">
        <v>80</v>
      </c>
      <c r="B204" s="127"/>
      <c r="C204" s="65"/>
      <c r="D204" s="83"/>
      <c r="E204" s="83"/>
      <c r="F204" s="83"/>
      <c r="G204" s="81">
        <v>1</v>
      </c>
      <c r="H204" s="65"/>
      <c r="I204" s="65"/>
      <c r="J204" s="83"/>
      <c r="K204" s="67"/>
      <c r="M204" s="397"/>
      <c r="N204" s="26" t="s">
        <v>49</v>
      </c>
      <c r="O204" s="398"/>
    </row>
    <row r="205" spans="1:15" x14ac:dyDescent="0.25">
      <c r="A205" s="150" t="s">
        <v>81</v>
      </c>
      <c r="B205" s="151"/>
      <c r="C205" s="75"/>
      <c r="D205" s="152"/>
      <c r="E205" s="152"/>
      <c r="F205" s="152"/>
      <c r="G205" s="76">
        <v>1</v>
      </c>
      <c r="H205" s="75"/>
      <c r="I205" s="75"/>
      <c r="J205" s="152"/>
      <c r="K205" s="77"/>
      <c r="M205" s="397"/>
      <c r="N205" s="26" t="s">
        <v>49</v>
      </c>
      <c r="O205" s="398"/>
    </row>
    <row r="206" spans="1:15" ht="25.5" x14ac:dyDescent="0.25">
      <c r="A206" s="104" t="s">
        <v>134</v>
      </c>
      <c r="B206" s="126" t="s">
        <v>1</v>
      </c>
      <c r="C206" s="60"/>
      <c r="D206" s="60"/>
      <c r="E206" s="60"/>
      <c r="F206" s="60"/>
      <c r="G206" s="141">
        <f>G207+G208</f>
        <v>2</v>
      </c>
      <c r="H206" s="60"/>
      <c r="I206" s="60"/>
      <c r="J206" s="60"/>
      <c r="K206" s="1"/>
      <c r="M206" s="399">
        <v>2</v>
      </c>
      <c r="N206" s="140">
        <f>M206-G206</f>
        <v>0</v>
      </c>
      <c r="O206" s="400">
        <f>N206/M206</f>
        <v>0</v>
      </c>
    </row>
    <row r="207" spans="1:15" x14ac:dyDescent="0.25">
      <c r="A207" s="123" t="s">
        <v>80</v>
      </c>
      <c r="B207" s="127"/>
      <c r="C207" s="65"/>
      <c r="D207" s="83"/>
      <c r="E207" s="83"/>
      <c r="F207" s="83"/>
      <c r="G207" s="81">
        <v>1</v>
      </c>
      <c r="H207" s="65"/>
      <c r="I207" s="65"/>
      <c r="J207" s="83"/>
      <c r="K207" s="67"/>
      <c r="M207" s="397"/>
      <c r="N207" s="26" t="s">
        <v>49</v>
      </c>
      <c r="O207" s="398"/>
    </row>
    <row r="208" spans="1:15" ht="15.75" thickBot="1" x14ac:dyDescent="0.3">
      <c r="A208" s="156" t="s">
        <v>81</v>
      </c>
      <c r="B208" s="153"/>
      <c r="C208" s="121"/>
      <c r="D208" s="154"/>
      <c r="E208" s="154"/>
      <c r="F208" s="154"/>
      <c r="G208" s="155">
        <v>1</v>
      </c>
      <c r="H208" s="121"/>
      <c r="I208" s="121"/>
      <c r="J208" s="154"/>
      <c r="K208" s="148"/>
      <c r="M208" s="401"/>
      <c r="N208" s="402" t="s">
        <v>49</v>
      </c>
      <c r="O208" s="403"/>
    </row>
  </sheetData>
  <mergeCells count="1">
    <mergeCell ref="N2:O2"/>
  </mergeCells>
  <conditionalFormatting sqref="N11:O11">
    <cfRule type="cellIs" dxfId="62" priority="51" operator="equal">
      <formula>0</formula>
    </cfRule>
  </conditionalFormatting>
  <conditionalFormatting sqref="N12:O12">
    <cfRule type="cellIs" dxfId="61" priority="50" operator="equal">
      <formula>0</formula>
    </cfRule>
  </conditionalFormatting>
  <conditionalFormatting sqref="N7:O7">
    <cfRule type="cellIs" dxfId="60" priority="49" operator="equal">
      <formula>0</formula>
    </cfRule>
  </conditionalFormatting>
  <conditionalFormatting sqref="N3:O4">
    <cfRule type="cellIs" dxfId="59" priority="48" operator="equal">
      <formula>0</formula>
    </cfRule>
  </conditionalFormatting>
  <conditionalFormatting sqref="N15:O15">
    <cfRule type="cellIs" dxfId="58" priority="47" operator="equal">
      <formula>0</formula>
    </cfRule>
  </conditionalFormatting>
  <conditionalFormatting sqref="N17:O17">
    <cfRule type="cellIs" dxfId="57" priority="46" operator="equal">
      <formula>0</formula>
    </cfRule>
  </conditionalFormatting>
  <conditionalFormatting sqref="N25:O25">
    <cfRule type="cellIs" dxfId="56" priority="45" operator="equal">
      <formula>0</formula>
    </cfRule>
  </conditionalFormatting>
  <conditionalFormatting sqref="N33:O33">
    <cfRule type="cellIs" dxfId="55" priority="44" operator="equal">
      <formula>0</formula>
    </cfRule>
  </conditionalFormatting>
  <conditionalFormatting sqref="N53:O53">
    <cfRule type="cellIs" dxfId="54" priority="43" operator="equal">
      <formula>0</formula>
    </cfRule>
  </conditionalFormatting>
  <conditionalFormatting sqref="N55:O55">
    <cfRule type="cellIs" dxfId="53" priority="42" operator="equal">
      <formula>0</formula>
    </cfRule>
  </conditionalFormatting>
  <conditionalFormatting sqref="N60:O60">
    <cfRule type="cellIs" dxfId="52" priority="41" operator="equal">
      <formula>0</formula>
    </cfRule>
  </conditionalFormatting>
  <conditionalFormatting sqref="N61:O61">
    <cfRule type="cellIs" dxfId="51" priority="40" operator="equal">
      <formula>0</formula>
    </cfRule>
  </conditionalFormatting>
  <conditionalFormatting sqref="N57:O57">
    <cfRule type="cellIs" dxfId="50" priority="39" operator="equal">
      <formula>0</formula>
    </cfRule>
  </conditionalFormatting>
  <conditionalFormatting sqref="N64:O64">
    <cfRule type="cellIs" dxfId="49" priority="38" operator="equal">
      <formula>0</formula>
    </cfRule>
  </conditionalFormatting>
  <conditionalFormatting sqref="N67:O67">
    <cfRule type="cellIs" dxfId="48" priority="36" operator="equal">
      <formula>0</formula>
    </cfRule>
  </conditionalFormatting>
  <conditionalFormatting sqref="N71:O71">
    <cfRule type="cellIs" dxfId="47" priority="35" operator="equal">
      <formula>0</formula>
    </cfRule>
  </conditionalFormatting>
  <conditionalFormatting sqref="N77:O77">
    <cfRule type="cellIs" dxfId="46" priority="34" operator="equal">
      <formula>0</formula>
    </cfRule>
  </conditionalFormatting>
  <conditionalFormatting sqref="N105:O105">
    <cfRule type="cellIs" dxfId="45" priority="33" operator="equal">
      <formula>0</formula>
    </cfRule>
  </conditionalFormatting>
  <conditionalFormatting sqref="N96:O96">
    <cfRule type="cellIs" dxfId="44" priority="32" operator="equal">
      <formula>0</formula>
    </cfRule>
  </conditionalFormatting>
  <conditionalFormatting sqref="N110:O110">
    <cfRule type="cellIs" dxfId="43" priority="31" operator="equal">
      <formula>0</formula>
    </cfRule>
  </conditionalFormatting>
  <conditionalFormatting sqref="N115:O115">
    <cfRule type="cellIs" dxfId="42" priority="30" operator="equal">
      <formula>0</formula>
    </cfRule>
  </conditionalFormatting>
  <conditionalFormatting sqref="N129:O129">
    <cfRule type="cellIs" dxfId="41" priority="29" operator="equal">
      <formula>0</formula>
    </cfRule>
  </conditionalFormatting>
  <conditionalFormatting sqref="N136:O136">
    <cfRule type="cellIs" dxfId="40" priority="28" operator="equal">
      <formula>0</formula>
    </cfRule>
  </conditionalFormatting>
  <conditionalFormatting sqref="N147:O147">
    <cfRule type="cellIs" dxfId="39" priority="27" operator="equal">
      <formula>0</formula>
    </cfRule>
  </conditionalFormatting>
  <conditionalFormatting sqref="N152:O152">
    <cfRule type="cellIs" dxfId="38" priority="26" operator="equal">
      <formula>0</formula>
    </cfRule>
  </conditionalFormatting>
  <conditionalFormatting sqref="O153">
    <cfRule type="cellIs" dxfId="37" priority="25" operator="equal">
      <formula>0</formula>
    </cfRule>
  </conditionalFormatting>
  <conditionalFormatting sqref="N153">
    <cfRule type="cellIs" dxfId="36" priority="24" operator="equal">
      <formula>0</formula>
    </cfRule>
  </conditionalFormatting>
  <conditionalFormatting sqref="N143:O143 N141:O141">
    <cfRule type="cellIs" dxfId="35" priority="23" operator="equal">
      <formula>0</formula>
    </cfRule>
  </conditionalFormatting>
  <conditionalFormatting sqref="N156:O156">
    <cfRule type="cellIs" dxfId="34" priority="22" operator="equal">
      <formula>0</formula>
    </cfRule>
  </conditionalFormatting>
  <conditionalFormatting sqref="N161:O161">
    <cfRule type="cellIs" dxfId="33" priority="19" operator="equal">
      <formula>0</formula>
    </cfRule>
  </conditionalFormatting>
  <conditionalFormatting sqref="N164:O164">
    <cfRule type="cellIs" dxfId="32" priority="18" operator="equal">
      <formula>0</formula>
    </cfRule>
  </conditionalFormatting>
  <conditionalFormatting sqref="N167:O167">
    <cfRule type="cellIs" dxfId="31" priority="17" operator="equal">
      <formula>0</formula>
    </cfRule>
  </conditionalFormatting>
  <conditionalFormatting sqref="N170:O170">
    <cfRule type="cellIs" dxfId="30" priority="16" operator="equal">
      <formula>0</formula>
    </cfRule>
  </conditionalFormatting>
  <conditionalFormatting sqref="N173:O173">
    <cfRule type="cellIs" dxfId="29" priority="15" operator="equal">
      <formula>0</formula>
    </cfRule>
  </conditionalFormatting>
  <conditionalFormatting sqref="N176:O176">
    <cfRule type="cellIs" dxfId="28" priority="14" operator="equal">
      <formula>0</formula>
    </cfRule>
  </conditionalFormatting>
  <conditionalFormatting sqref="N179:O179">
    <cfRule type="cellIs" dxfId="27" priority="13" operator="equal">
      <formula>0</formula>
    </cfRule>
  </conditionalFormatting>
  <conditionalFormatting sqref="N182:O182">
    <cfRule type="cellIs" dxfId="26" priority="12" operator="equal">
      <formula>0</formula>
    </cfRule>
  </conditionalFormatting>
  <conditionalFormatting sqref="N185:O185">
    <cfRule type="cellIs" dxfId="25" priority="11" operator="equal">
      <formula>0</formula>
    </cfRule>
  </conditionalFormatting>
  <conditionalFormatting sqref="N188:O188">
    <cfRule type="cellIs" dxfId="24" priority="10" operator="equal">
      <formula>0</formula>
    </cfRule>
  </conditionalFormatting>
  <conditionalFormatting sqref="N191:O191">
    <cfRule type="cellIs" dxfId="23" priority="9" operator="equal">
      <formula>0</formula>
    </cfRule>
  </conditionalFormatting>
  <conditionalFormatting sqref="N194:O194">
    <cfRule type="cellIs" dxfId="22" priority="8" operator="equal">
      <formula>0</formula>
    </cfRule>
  </conditionalFormatting>
  <conditionalFormatting sqref="N197:O197">
    <cfRule type="cellIs" dxfId="21" priority="7" operator="equal">
      <formula>0</formula>
    </cfRule>
  </conditionalFormatting>
  <conditionalFormatting sqref="N200:O200">
    <cfRule type="cellIs" dxfId="20" priority="6" operator="equal">
      <formula>0</formula>
    </cfRule>
  </conditionalFormatting>
  <conditionalFormatting sqref="N203:O203">
    <cfRule type="cellIs" dxfId="19" priority="5" operator="equal">
      <formula>0</formula>
    </cfRule>
  </conditionalFormatting>
  <conditionalFormatting sqref="N206:O206">
    <cfRule type="cellIs" dxfId="18" priority="4" operator="equal">
      <formula>0</formula>
    </cfRule>
  </conditionalFormatting>
  <conditionalFormatting sqref="N30:O30">
    <cfRule type="cellIs" dxfId="17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I31" sqref="I31"/>
    </sheetView>
  </sheetViews>
  <sheetFormatPr defaultRowHeight="15" x14ac:dyDescent="0.25"/>
  <cols>
    <col min="1" max="1" width="20.42578125" bestFit="1" customWidth="1"/>
    <col min="4" max="4" width="10.85546875" bestFit="1" customWidth="1"/>
    <col min="9" max="9" width="16.5703125" bestFit="1" customWidth="1"/>
  </cols>
  <sheetData>
    <row r="1" spans="1:9" ht="15.75" thickBot="1" x14ac:dyDescent="0.3">
      <c r="A1" s="7" t="s">
        <v>265</v>
      </c>
      <c r="B1" s="8"/>
      <c r="C1" s="373" t="s">
        <v>2</v>
      </c>
      <c r="D1" s="373" t="s">
        <v>3</v>
      </c>
      <c r="E1" s="10" t="s">
        <v>5</v>
      </c>
      <c r="F1" s="373" t="s">
        <v>6</v>
      </c>
      <c r="G1" s="373" t="s">
        <v>7</v>
      </c>
      <c r="H1" s="373" t="s">
        <v>8</v>
      </c>
      <c r="I1" s="11" t="s">
        <v>9</v>
      </c>
    </row>
    <row r="2" spans="1:9" x14ac:dyDescent="0.25">
      <c r="A2" s="92" t="s">
        <v>266</v>
      </c>
      <c r="B2" s="125" t="s">
        <v>10</v>
      </c>
      <c r="C2" s="132"/>
      <c r="D2" s="94"/>
      <c r="E2" s="95"/>
      <c r="F2" s="94"/>
      <c r="G2" s="96">
        <f>SUM(G3:G4)</f>
        <v>5.6627999999999998</v>
      </c>
      <c r="H2" s="94"/>
      <c r="I2" s="379"/>
    </row>
    <row r="3" spans="1:9" x14ac:dyDescent="0.25">
      <c r="A3" s="22" t="s">
        <v>80</v>
      </c>
      <c r="B3" s="2"/>
      <c r="C3" s="3">
        <v>2</v>
      </c>
      <c r="D3" s="5">
        <v>1.56</v>
      </c>
      <c r="E3" s="4"/>
      <c r="F3" s="3"/>
      <c r="G3" s="3">
        <f>D3*C3</f>
        <v>3.12</v>
      </c>
      <c r="H3" s="5"/>
      <c r="I3" s="23"/>
    </row>
    <row r="4" spans="1:9" x14ac:dyDescent="0.25">
      <c r="A4" s="380" t="s">
        <v>81</v>
      </c>
      <c r="B4" s="381"/>
      <c r="C4" s="382">
        <v>1.63</v>
      </c>
      <c r="D4" s="383">
        <v>1.56</v>
      </c>
      <c r="E4" s="388"/>
      <c r="F4" s="382"/>
      <c r="G4" s="382">
        <f>D4*C4</f>
        <v>2.5427999999999997</v>
      </c>
      <c r="H4" s="383"/>
      <c r="I4" s="385"/>
    </row>
    <row r="5" spans="1:9" x14ac:dyDescent="0.25">
      <c r="A5" s="104" t="s">
        <v>267</v>
      </c>
      <c r="B5" s="126" t="s">
        <v>10</v>
      </c>
      <c r="C5" s="386"/>
      <c r="D5" s="60"/>
      <c r="E5" s="61"/>
      <c r="F5" s="60"/>
      <c r="G5" s="62">
        <f>SUM(G6:G7)</f>
        <v>5.6627999999999998</v>
      </c>
      <c r="H5" s="60"/>
      <c r="I5" s="387"/>
    </row>
    <row r="6" spans="1:9" x14ac:dyDescent="0.25">
      <c r="A6" s="22" t="s">
        <v>80</v>
      </c>
      <c r="B6" s="2"/>
      <c r="C6" s="3">
        <v>2</v>
      </c>
      <c r="D6" s="5">
        <v>1.56</v>
      </c>
      <c r="E6" s="4"/>
      <c r="F6" s="3"/>
      <c r="G6" s="3">
        <f>D6*C6</f>
        <v>3.12</v>
      </c>
      <c r="H6" s="5"/>
      <c r="I6" s="23"/>
    </row>
    <row r="7" spans="1:9" x14ac:dyDescent="0.25">
      <c r="A7" s="380" t="s">
        <v>81</v>
      </c>
      <c r="B7" s="381"/>
      <c r="C7" s="382">
        <v>1.63</v>
      </c>
      <c r="D7" s="383">
        <v>1.56</v>
      </c>
      <c r="E7" s="388"/>
      <c r="F7" s="384"/>
      <c r="G7" s="384">
        <f>D7*C7</f>
        <v>2.5427999999999997</v>
      </c>
      <c r="H7" s="383"/>
      <c r="I7" s="385"/>
    </row>
    <row r="8" spans="1:9" x14ac:dyDescent="0.25">
      <c r="A8" s="104" t="s">
        <v>268</v>
      </c>
      <c r="B8" s="126" t="s">
        <v>10</v>
      </c>
      <c r="C8" s="386"/>
      <c r="D8" s="60"/>
      <c r="E8" s="61"/>
      <c r="F8" s="60"/>
      <c r="G8" s="62">
        <f>SUM(G9:G10)</f>
        <v>5.6627999999999998</v>
      </c>
      <c r="H8" s="60"/>
      <c r="I8" s="387"/>
    </row>
    <row r="9" spans="1:9" x14ac:dyDescent="0.25">
      <c r="A9" s="22" t="s">
        <v>80</v>
      </c>
      <c r="B9" s="2"/>
      <c r="C9" s="3">
        <v>2</v>
      </c>
      <c r="D9" s="5">
        <v>1.56</v>
      </c>
      <c r="E9" s="4"/>
      <c r="F9" s="3"/>
      <c r="G9" s="3">
        <f>D9*C9</f>
        <v>3.12</v>
      </c>
      <c r="H9" s="5"/>
      <c r="I9" s="23"/>
    </row>
    <row r="10" spans="1:9" ht="15.75" thickBot="1" x14ac:dyDescent="0.3">
      <c r="A10" s="374" t="s">
        <v>81</v>
      </c>
      <c r="B10" s="375"/>
      <c r="C10" s="376">
        <v>1.63</v>
      </c>
      <c r="D10" s="377">
        <v>1.56</v>
      </c>
      <c r="E10" s="389"/>
      <c r="F10" s="91"/>
      <c r="G10" s="91">
        <f>D10*C10</f>
        <v>2.5427999999999997</v>
      </c>
      <c r="H10" s="377"/>
      <c r="I10" s="378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8"/>
  <sheetViews>
    <sheetView workbookViewId="0">
      <selection activeCell="A15" sqref="A15:F15"/>
    </sheetView>
  </sheetViews>
  <sheetFormatPr defaultRowHeight="15" x14ac:dyDescent="0.25"/>
  <cols>
    <col min="1" max="1" width="7.5703125" style="191" customWidth="1"/>
    <col min="2" max="2" width="33.42578125" style="207" bestFit="1" customWidth="1"/>
    <col min="3" max="3" width="7.28515625" bestFit="1" customWidth="1"/>
    <col min="4" max="4" width="7.5703125" bestFit="1" customWidth="1"/>
    <col min="5" max="5" width="7" bestFit="1" customWidth="1"/>
    <col min="6" max="6" width="5.42578125" bestFit="1" customWidth="1"/>
    <col min="7" max="7" width="8" bestFit="1" customWidth="1"/>
    <col min="8" max="8" width="8.5703125" bestFit="1" customWidth="1"/>
    <col min="9" max="9" width="9.140625" bestFit="1" customWidth="1"/>
    <col min="10" max="10" width="6.5703125" bestFit="1" customWidth="1"/>
    <col min="11" max="11" width="7.140625" bestFit="1" customWidth="1"/>
    <col min="12" max="12" width="6" bestFit="1" customWidth="1"/>
    <col min="13" max="13" width="38.28515625" bestFit="1" customWidth="1"/>
    <col min="14" max="24" width="9.28515625" customWidth="1"/>
  </cols>
  <sheetData>
    <row r="1" spans="1:13" ht="15.75" thickBot="1" x14ac:dyDescent="0.3">
      <c r="B1" s="6"/>
    </row>
    <row r="2" spans="1:13" ht="15.75" thickBot="1" x14ac:dyDescent="0.3">
      <c r="A2" s="157" t="s">
        <v>137</v>
      </c>
      <c r="B2" s="204"/>
      <c r="C2" s="159"/>
      <c r="D2" s="208"/>
      <c r="E2" s="226" t="s">
        <v>142</v>
      </c>
      <c r="F2" s="212" t="s">
        <v>141</v>
      </c>
      <c r="G2" s="213" t="s">
        <v>179</v>
      </c>
      <c r="L2" s="431" t="s">
        <v>188</v>
      </c>
      <c r="M2" s="432"/>
    </row>
    <row r="3" spans="1:13" ht="15.75" thickBot="1" x14ac:dyDescent="0.3">
      <c r="A3" s="216"/>
      <c r="B3" s="217" t="s">
        <v>189</v>
      </c>
      <c r="C3" s="197">
        <v>25</v>
      </c>
      <c r="D3" s="218" t="s">
        <v>36</v>
      </c>
      <c r="E3" s="199">
        <f>E19*(1+L3)</f>
        <v>5.9398680000000006</v>
      </c>
      <c r="F3" s="200">
        <f>F19*(1+L3)</f>
        <v>4.3896710000000008</v>
      </c>
      <c r="G3" s="201">
        <f>E3+F3</f>
        <v>10.329539</v>
      </c>
      <c r="L3" s="228" t="s">
        <v>212</v>
      </c>
      <c r="M3" s="229" t="s">
        <v>190</v>
      </c>
    </row>
    <row r="4" spans="1:13" ht="15.75" thickBot="1" x14ac:dyDescent="0.3">
      <c r="B4" s="6"/>
    </row>
    <row r="5" spans="1:13" ht="15.75" thickBot="1" x14ac:dyDescent="0.3">
      <c r="A5" s="157" t="s">
        <v>139</v>
      </c>
      <c r="B5" s="204"/>
      <c r="C5" s="159"/>
      <c r="D5" s="208"/>
      <c r="E5" s="226" t="s">
        <v>142</v>
      </c>
      <c r="F5" s="212" t="s">
        <v>141</v>
      </c>
      <c r="G5" s="213" t="s">
        <v>179</v>
      </c>
      <c r="L5" s="431" t="s">
        <v>188</v>
      </c>
      <c r="M5" s="432"/>
    </row>
    <row r="6" spans="1:13" ht="15.75" thickBot="1" x14ac:dyDescent="0.3">
      <c r="A6" s="216"/>
      <c r="B6" s="217"/>
      <c r="C6" s="197">
        <v>25</v>
      </c>
      <c r="D6" s="218" t="s">
        <v>36</v>
      </c>
      <c r="E6" s="199">
        <f>E19*(1+L6)</f>
        <v>5.9398680000000006</v>
      </c>
      <c r="F6" s="200">
        <f>F19*(1+L6)</f>
        <v>4.3896710000000008</v>
      </c>
      <c r="G6" s="201">
        <f>E6+F6</f>
        <v>10.329539</v>
      </c>
      <c r="L6" s="228" t="s">
        <v>212</v>
      </c>
      <c r="M6" s="229" t="s">
        <v>190</v>
      </c>
    </row>
    <row r="7" spans="1:13" ht="15.75" thickBot="1" x14ac:dyDescent="0.3"/>
    <row r="8" spans="1:13" ht="15.75" thickBot="1" x14ac:dyDescent="0.3">
      <c r="A8" s="157" t="s">
        <v>143</v>
      </c>
      <c r="B8" s="204"/>
      <c r="C8" s="159"/>
      <c r="D8" s="208"/>
      <c r="E8" s="212" t="s">
        <v>142</v>
      </c>
      <c r="F8" s="212" t="s">
        <v>141</v>
      </c>
      <c r="G8" s="213" t="s">
        <v>179</v>
      </c>
      <c r="I8" s="214" t="s">
        <v>41</v>
      </c>
      <c r="J8" s="433" t="s">
        <v>180</v>
      </c>
      <c r="K8" s="434"/>
      <c r="M8" s="219" t="s">
        <v>188</v>
      </c>
    </row>
    <row r="9" spans="1:13" x14ac:dyDescent="0.25">
      <c r="A9" s="160" t="s">
        <v>144</v>
      </c>
      <c r="B9" s="205" t="s">
        <v>181</v>
      </c>
      <c r="C9" s="162" t="s">
        <v>145</v>
      </c>
      <c r="D9" s="209" t="s">
        <v>1</v>
      </c>
      <c r="E9" s="168">
        <v>2</v>
      </c>
      <c r="F9" s="168">
        <v>2</v>
      </c>
      <c r="G9" s="183">
        <f t="shared" ref="G9:G14" si="0">SUM(E9:F9)</f>
        <v>4</v>
      </c>
      <c r="I9" s="167">
        <v>4</v>
      </c>
      <c r="J9" s="168">
        <f t="shared" ref="J9:J14" si="1">I9-G9</f>
        <v>0</v>
      </c>
      <c r="K9" s="169">
        <f t="shared" ref="K9:K14" si="2">J9/I9</f>
        <v>0</v>
      </c>
      <c r="M9" s="170" t="s">
        <v>146</v>
      </c>
    </row>
    <row r="10" spans="1:13" x14ac:dyDescent="0.25">
      <c r="A10" s="171" t="s">
        <v>147</v>
      </c>
      <c r="B10" s="206" t="s">
        <v>185</v>
      </c>
      <c r="C10" s="173" t="s">
        <v>145</v>
      </c>
      <c r="D10" s="210" t="s">
        <v>1</v>
      </c>
      <c r="E10" s="179">
        <v>1</v>
      </c>
      <c r="F10" s="179">
        <v>3</v>
      </c>
      <c r="G10" s="185">
        <f t="shared" si="0"/>
        <v>4</v>
      </c>
      <c r="I10" s="178">
        <v>4</v>
      </c>
      <c r="J10" s="179">
        <f t="shared" si="1"/>
        <v>0</v>
      </c>
      <c r="K10" s="180">
        <f t="shared" si="2"/>
        <v>0</v>
      </c>
      <c r="M10" s="170"/>
    </row>
    <row r="11" spans="1:13" x14ac:dyDescent="0.25">
      <c r="A11" s="160" t="s">
        <v>148</v>
      </c>
      <c r="B11" s="205" t="s">
        <v>182</v>
      </c>
      <c r="C11" s="162">
        <v>25</v>
      </c>
      <c r="D11" s="209" t="s">
        <v>1</v>
      </c>
      <c r="E11" s="168">
        <v>8</v>
      </c>
      <c r="F11" s="168">
        <v>4</v>
      </c>
      <c r="G11" s="183">
        <f t="shared" si="0"/>
        <v>12</v>
      </c>
      <c r="I11" s="167">
        <v>12</v>
      </c>
      <c r="J11" s="168">
        <f t="shared" si="1"/>
        <v>0</v>
      </c>
      <c r="K11" s="169">
        <f t="shared" si="2"/>
        <v>0</v>
      </c>
      <c r="M11" s="170"/>
    </row>
    <row r="12" spans="1:13" x14ac:dyDescent="0.25">
      <c r="A12" s="171" t="s">
        <v>149</v>
      </c>
      <c r="B12" s="206" t="s">
        <v>183</v>
      </c>
      <c r="C12" s="173">
        <v>25</v>
      </c>
      <c r="D12" s="210" t="s">
        <v>1</v>
      </c>
      <c r="E12" s="179">
        <v>1</v>
      </c>
      <c r="F12" s="179">
        <v>1</v>
      </c>
      <c r="G12" s="185">
        <f t="shared" si="0"/>
        <v>2</v>
      </c>
      <c r="I12" s="178">
        <v>2</v>
      </c>
      <c r="J12" s="179">
        <f t="shared" si="1"/>
        <v>0</v>
      </c>
      <c r="K12" s="180">
        <f t="shared" si="2"/>
        <v>0</v>
      </c>
      <c r="M12" s="170"/>
    </row>
    <row r="13" spans="1:13" x14ac:dyDescent="0.25">
      <c r="A13" s="160" t="s">
        <v>150</v>
      </c>
      <c r="B13" s="205" t="s">
        <v>184</v>
      </c>
      <c r="C13" s="162" t="s">
        <v>152</v>
      </c>
      <c r="D13" s="209" t="s">
        <v>1</v>
      </c>
      <c r="E13" s="168">
        <v>1</v>
      </c>
      <c r="F13" s="168">
        <v>1</v>
      </c>
      <c r="G13" s="183">
        <f t="shared" si="0"/>
        <v>2</v>
      </c>
      <c r="I13" s="167">
        <v>2</v>
      </c>
      <c r="J13" s="168">
        <f t="shared" si="1"/>
        <v>0</v>
      </c>
      <c r="K13" s="169">
        <f t="shared" si="2"/>
        <v>0</v>
      </c>
      <c r="M13" s="170"/>
    </row>
    <row r="14" spans="1:13" x14ac:dyDescent="0.25">
      <c r="A14" s="171" t="s">
        <v>151</v>
      </c>
      <c r="B14" s="206" t="s">
        <v>186</v>
      </c>
      <c r="C14" s="173">
        <v>25</v>
      </c>
      <c r="D14" s="210" t="s">
        <v>1</v>
      </c>
      <c r="E14" s="179">
        <v>2</v>
      </c>
      <c r="F14" s="179">
        <v>2</v>
      </c>
      <c r="G14" s="185">
        <f t="shared" si="0"/>
        <v>4</v>
      </c>
      <c r="I14" s="178">
        <v>4</v>
      </c>
      <c r="J14" s="179">
        <f t="shared" si="1"/>
        <v>0</v>
      </c>
      <c r="K14" s="180">
        <f t="shared" si="2"/>
        <v>0</v>
      </c>
      <c r="M14" s="170"/>
    </row>
    <row r="15" spans="1:13" ht="15.75" thickBot="1" x14ac:dyDescent="0.3">
      <c r="A15" s="160" t="s">
        <v>213</v>
      </c>
      <c r="B15" s="205" t="s">
        <v>214</v>
      </c>
      <c r="C15" s="162" t="s">
        <v>145</v>
      </c>
      <c r="D15" s="209" t="s">
        <v>1</v>
      </c>
      <c r="E15" s="168">
        <v>2</v>
      </c>
      <c r="F15" s="168">
        <v>0</v>
      </c>
      <c r="G15" s="183">
        <f>SUM(E15:F15)</f>
        <v>2</v>
      </c>
      <c r="I15" s="167">
        <v>2</v>
      </c>
      <c r="J15" s="168">
        <f>I15-G15</f>
        <v>0</v>
      </c>
      <c r="K15" s="169">
        <f>J15/I15</f>
        <v>0</v>
      </c>
      <c r="M15" s="170"/>
    </row>
    <row r="16" spans="1:13" ht="15.75" thickBot="1" x14ac:dyDescent="0.3">
      <c r="A16" s="157" t="s">
        <v>153</v>
      </c>
      <c r="B16" s="159"/>
      <c r="C16" s="159"/>
      <c r="D16" s="208"/>
      <c r="E16" s="212" t="s">
        <v>142</v>
      </c>
      <c r="F16" s="212" t="s">
        <v>141</v>
      </c>
      <c r="G16" s="213" t="s">
        <v>179</v>
      </c>
      <c r="I16" s="214" t="s">
        <v>41</v>
      </c>
      <c r="J16" s="433" t="s">
        <v>180</v>
      </c>
      <c r="K16" s="434"/>
      <c r="M16" s="219" t="s">
        <v>188</v>
      </c>
    </row>
    <row r="17" spans="1:22" ht="15.75" thickBot="1" x14ac:dyDescent="0.3">
      <c r="A17" s="160" t="s">
        <v>157</v>
      </c>
      <c r="B17" s="205" t="s">
        <v>187</v>
      </c>
      <c r="C17" s="162" t="s">
        <v>154</v>
      </c>
      <c r="D17" s="209" t="s">
        <v>1</v>
      </c>
      <c r="E17" s="168">
        <v>1</v>
      </c>
      <c r="F17" s="168">
        <v>1</v>
      </c>
      <c r="G17" s="183">
        <f>SUM(E17:F17)</f>
        <v>2</v>
      </c>
      <c r="I17" s="167">
        <v>2</v>
      </c>
      <c r="J17" s="168">
        <f>I17-G17</f>
        <v>0</v>
      </c>
      <c r="K17" s="169">
        <f>J17/I17</f>
        <v>0</v>
      </c>
      <c r="M17" s="170"/>
    </row>
    <row r="18" spans="1:22" ht="15.75" thickBot="1" x14ac:dyDescent="0.3">
      <c r="A18" s="157" t="s">
        <v>155</v>
      </c>
      <c r="B18" s="204"/>
      <c r="C18" s="159"/>
      <c r="D18" s="208"/>
      <c r="E18" s="212" t="s">
        <v>142</v>
      </c>
      <c r="F18" s="212" t="s">
        <v>141</v>
      </c>
      <c r="G18" s="213" t="s">
        <v>179</v>
      </c>
      <c r="I18" s="214" t="s">
        <v>41</v>
      </c>
      <c r="J18" s="433" t="s">
        <v>180</v>
      </c>
      <c r="K18" s="434"/>
      <c r="M18" s="219" t="s">
        <v>188</v>
      </c>
    </row>
    <row r="19" spans="1:22" ht="15.75" thickBot="1" x14ac:dyDescent="0.3">
      <c r="A19" s="216"/>
      <c r="B19" s="217" t="s">
        <v>189</v>
      </c>
      <c r="C19" s="197">
        <v>25</v>
      </c>
      <c r="D19" s="218" t="s">
        <v>36</v>
      </c>
      <c r="E19" s="200">
        <f>SUM(A28:E36)/1000</f>
        <v>5.3998800000000005</v>
      </c>
      <c r="F19" s="200">
        <f>SUM(G29:K34)/1000</f>
        <v>3.9906100000000002</v>
      </c>
      <c r="G19" s="201">
        <f>SUM(E19:F19)</f>
        <v>9.3904899999999998</v>
      </c>
      <c r="I19" s="198">
        <v>9.44</v>
      </c>
      <c r="J19" s="200">
        <f>I19-G19</f>
        <v>4.9509999999999721E-2</v>
      </c>
      <c r="K19" s="215">
        <f>J19/I19</f>
        <v>5.2447033898304794E-3</v>
      </c>
      <c r="M19" s="181"/>
    </row>
    <row r="20" spans="1:22" x14ac:dyDescent="0.25">
      <c r="A20"/>
      <c r="B20"/>
    </row>
    <row r="21" spans="1:22" x14ac:dyDescent="0.25">
      <c r="A21"/>
      <c r="B21"/>
    </row>
    <row r="22" spans="1:22" x14ac:dyDescent="0.25">
      <c r="A22"/>
      <c r="B22"/>
    </row>
    <row r="23" spans="1:22" x14ac:dyDescent="0.25">
      <c r="A23"/>
      <c r="B23"/>
    </row>
    <row r="24" spans="1:22" x14ac:dyDescent="0.25">
      <c r="A24"/>
      <c r="B24"/>
    </row>
    <row r="25" spans="1:22" x14ac:dyDescent="0.25">
      <c r="A25"/>
      <c r="B25"/>
    </row>
    <row r="26" spans="1:22" x14ac:dyDescent="0.25">
      <c r="B26"/>
    </row>
    <row r="27" spans="1:22" x14ac:dyDescent="0.25">
      <c r="B27" s="6"/>
    </row>
    <row r="28" spans="1:22" x14ac:dyDescent="0.25">
      <c r="C28" s="191"/>
      <c r="D28" s="221">
        <v>1009.2</v>
      </c>
      <c r="E28">
        <v>0.45</v>
      </c>
    </row>
    <row r="29" spans="1:22" x14ac:dyDescent="0.25">
      <c r="C29" s="301">
        <v>105.76</v>
      </c>
      <c r="D29" s="223"/>
      <c r="E29" s="299"/>
      <c r="H29" s="220">
        <v>195.04</v>
      </c>
    </row>
    <row r="30" spans="1:22" x14ac:dyDescent="0.25">
      <c r="C30" s="302">
        <v>1165.5</v>
      </c>
      <c r="H30" s="220">
        <v>1166.1099999999999</v>
      </c>
    </row>
    <row r="31" spans="1:22" x14ac:dyDescent="0.25">
      <c r="C31" s="220"/>
      <c r="G31" s="222">
        <v>242.82</v>
      </c>
      <c r="H31" s="221">
        <v>357.47</v>
      </c>
      <c r="I31" s="295">
        <v>1218.52</v>
      </c>
    </row>
    <row r="32" spans="1:22" x14ac:dyDescent="0.25">
      <c r="B32" s="306">
        <v>970.5</v>
      </c>
      <c r="C32" s="304">
        <v>198.5</v>
      </c>
      <c r="D32" s="312">
        <v>1077.48</v>
      </c>
      <c r="E32" s="222">
        <v>239.42</v>
      </c>
      <c r="G32" s="300">
        <v>68.3</v>
      </c>
      <c r="H32" s="298"/>
      <c r="I32" s="296">
        <v>260.5</v>
      </c>
      <c r="J32" s="224"/>
      <c r="V32" s="308"/>
    </row>
    <row r="33" spans="1:19" x14ac:dyDescent="0.25">
      <c r="A33">
        <v>118.25</v>
      </c>
      <c r="B33" s="307"/>
      <c r="E33" s="305">
        <v>68.3</v>
      </c>
      <c r="G33" s="299"/>
      <c r="H33" s="299"/>
      <c r="I33" s="296">
        <v>118.7</v>
      </c>
      <c r="J33" s="225">
        <v>76.599999999999994</v>
      </c>
    </row>
    <row r="34" spans="1:19" x14ac:dyDescent="0.25">
      <c r="A34"/>
      <c r="B34" s="303">
        <v>63.6</v>
      </c>
      <c r="I34" s="296">
        <v>168.25</v>
      </c>
      <c r="J34" s="297"/>
      <c r="K34" s="297">
        <v>118.3</v>
      </c>
    </row>
    <row r="35" spans="1:19" x14ac:dyDescent="0.25">
      <c r="A35">
        <v>119.77</v>
      </c>
      <c r="B35" s="224">
        <v>119.15</v>
      </c>
      <c r="C35" s="224"/>
    </row>
    <row r="36" spans="1:19" x14ac:dyDescent="0.25">
      <c r="A36" s="220">
        <v>69.599999999999994</v>
      </c>
      <c r="B36" s="313">
        <v>74.400000000000006</v>
      </c>
    </row>
    <row r="37" spans="1:19" x14ac:dyDescent="0.25">
      <c r="A37"/>
      <c r="B37"/>
    </row>
    <row r="38" spans="1:19" x14ac:dyDescent="0.25">
      <c r="B38"/>
    </row>
    <row r="39" spans="1:19" x14ac:dyDescent="0.25">
      <c r="B39"/>
    </row>
    <row r="40" spans="1:19" x14ac:dyDescent="0.25">
      <c r="B40" s="6"/>
    </row>
    <row r="41" spans="1:19" x14ac:dyDescent="0.25">
      <c r="B41" s="6"/>
      <c r="S41" s="227"/>
    </row>
    <row r="42" spans="1:19" x14ac:dyDescent="0.25">
      <c r="B42" s="6"/>
    </row>
    <row r="43" spans="1:19" x14ac:dyDescent="0.25">
      <c r="B43" s="6"/>
    </row>
    <row r="44" spans="1:19" x14ac:dyDescent="0.25">
      <c r="B44" s="6"/>
    </row>
    <row r="45" spans="1:19" x14ac:dyDescent="0.25">
      <c r="B45" s="6"/>
    </row>
    <row r="46" spans="1:19" x14ac:dyDescent="0.25">
      <c r="B46" s="6"/>
    </row>
    <row r="47" spans="1:19" x14ac:dyDescent="0.25">
      <c r="B47" s="6"/>
    </row>
    <row r="48" spans="1:19" x14ac:dyDescent="0.25">
      <c r="B48" s="6"/>
    </row>
  </sheetData>
  <mergeCells count="5">
    <mergeCell ref="L2:M2"/>
    <mergeCell ref="L5:M5"/>
    <mergeCell ref="J18:K18"/>
    <mergeCell ref="J8:K8"/>
    <mergeCell ref="J16:K16"/>
  </mergeCells>
  <conditionalFormatting sqref="J19:K19 J9:K13 J17:K17">
    <cfRule type="cellIs" dxfId="16" priority="10" operator="equal">
      <formula>0</formula>
    </cfRule>
  </conditionalFormatting>
  <conditionalFormatting sqref="J14:K15">
    <cfRule type="cellIs" dxfId="15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3"/>
  <sheetViews>
    <sheetView showGridLines="0" zoomScaleNormal="100" workbookViewId="0">
      <selection activeCell="B1" sqref="B1"/>
    </sheetView>
  </sheetViews>
  <sheetFormatPr defaultRowHeight="15" x14ac:dyDescent="0.25"/>
  <cols>
    <col min="1" max="1" width="22.42578125" bestFit="1" customWidth="1"/>
    <col min="2" max="2" width="38.42578125" style="192" bestFit="1" customWidth="1"/>
    <col min="3" max="3" width="15" bestFit="1" customWidth="1"/>
    <col min="4" max="4" width="5.7109375" bestFit="1" customWidth="1"/>
    <col min="5" max="7" width="7.5703125" bestFit="1" customWidth="1"/>
    <col min="8" max="8" width="7.7109375" bestFit="1" customWidth="1"/>
    <col min="9" max="9" width="9.140625" bestFit="1" customWidth="1"/>
    <col min="10" max="10" width="5.5703125" bestFit="1" customWidth="1"/>
    <col min="11" max="11" width="9.140625" bestFit="1" customWidth="1"/>
    <col min="12" max="12" width="5.5703125" bestFit="1" customWidth="1"/>
    <col min="13" max="13" width="6" bestFit="1" customWidth="1"/>
    <col min="14" max="14" width="8.28515625" customWidth="1"/>
    <col min="15" max="15" width="42.85546875" bestFit="1" customWidth="1"/>
    <col min="16" max="29" width="9.28515625" customWidth="1"/>
  </cols>
  <sheetData>
    <row r="1" spans="1:15" ht="15.75" thickBot="1" x14ac:dyDescent="0.3">
      <c r="B1"/>
    </row>
    <row r="2" spans="1:15" ht="15.75" thickBot="1" x14ac:dyDescent="0.3">
      <c r="A2" s="157" t="s">
        <v>204</v>
      </c>
      <c r="B2" s="204"/>
      <c r="C2" s="159"/>
      <c r="D2" s="208"/>
      <c r="E2" s="212" t="s">
        <v>142</v>
      </c>
      <c r="F2" s="212" t="s">
        <v>141</v>
      </c>
      <c r="G2" s="212" t="s">
        <v>201</v>
      </c>
      <c r="H2" s="226" t="s">
        <v>202</v>
      </c>
      <c r="I2" s="213" t="s">
        <v>179</v>
      </c>
      <c r="N2" s="431" t="s">
        <v>188</v>
      </c>
      <c r="O2" s="432"/>
    </row>
    <row r="3" spans="1:15" x14ac:dyDescent="0.25">
      <c r="A3" s="193"/>
      <c r="B3" s="161" t="s">
        <v>200</v>
      </c>
      <c r="C3" s="162">
        <v>40</v>
      </c>
      <c r="D3" s="209" t="s">
        <v>36</v>
      </c>
      <c r="E3" s="164">
        <f>(SUM(T29:T31)/1000)*(1+$N$3)</f>
        <v>0.45775400000000005</v>
      </c>
      <c r="F3" s="164">
        <f>(SUM(U29:U31)/1000)*(1+$N$3)</f>
        <v>0.45650000000000002</v>
      </c>
      <c r="G3" s="165"/>
      <c r="H3" s="164"/>
      <c r="I3" s="166"/>
      <c r="N3" s="417" t="s">
        <v>212</v>
      </c>
      <c r="O3" s="418" t="s">
        <v>190</v>
      </c>
    </row>
    <row r="4" spans="1:15" x14ac:dyDescent="0.25">
      <c r="A4" s="275"/>
      <c r="B4" s="276" t="s">
        <v>200</v>
      </c>
      <c r="C4" s="277">
        <v>50</v>
      </c>
      <c r="D4" s="278" t="s">
        <v>36</v>
      </c>
      <c r="E4" s="280">
        <f>(SUM(T32:T39)/1000)*(1+$N$3)</f>
        <v>0.36208699999999999</v>
      </c>
      <c r="F4" s="280">
        <f>(SUM(U32:U39)/1000)*(1+$N$3)</f>
        <v>0.36061300000000002</v>
      </c>
      <c r="G4" s="281">
        <f>(SUM(V32:W34)/1000)*(1+$N$3)</f>
        <v>1.3997610000000005</v>
      </c>
      <c r="H4" s="280"/>
      <c r="I4" s="279"/>
      <c r="N4" s="417"/>
      <c r="O4" s="418"/>
    </row>
    <row r="5" spans="1:15" ht="15.75" thickBot="1" x14ac:dyDescent="0.3">
      <c r="A5" s="252"/>
      <c r="B5" s="282" t="s">
        <v>200</v>
      </c>
      <c r="C5" s="253">
        <v>100</v>
      </c>
      <c r="D5" s="254" t="s">
        <v>36</v>
      </c>
      <c r="E5" s="255">
        <f>(SUM(T40:T46)/1000)*(1+$N$3)</f>
        <v>3.4257629999999999</v>
      </c>
      <c r="F5" s="255">
        <f>(SUM(U40:U46)/1000)*(1+$N$3)</f>
        <v>1.7223580000000001</v>
      </c>
      <c r="G5" s="256"/>
      <c r="H5" s="255">
        <f>(SUM(V40:W46)/1000)*(1+$N$3)</f>
        <v>0.44000000000000006</v>
      </c>
      <c r="I5" s="283"/>
      <c r="N5" s="417"/>
      <c r="O5" s="418"/>
    </row>
    <row r="6" spans="1:15" ht="15.75" thickTop="1" x14ac:dyDescent="0.25">
      <c r="A6" s="257"/>
      <c r="B6" s="258" t="s">
        <v>205</v>
      </c>
      <c r="C6" s="415">
        <v>0.2</v>
      </c>
      <c r="D6" s="259" t="s">
        <v>36</v>
      </c>
      <c r="E6" s="260"/>
      <c r="F6" s="260"/>
      <c r="G6" s="261"/>
      <c r="H6" s="260"/>
      <c r="I6" s="262"/>
      <c r="N6" s="417"/>
      <c r="O6" s="418"/>
    </row>
    <row r="7" spans="1:15" ht="15.75" thickBot="1" x14ac:dyDescent="0.3">
      <c r="A7" s="263"/>
      <c r="B7" s="264" t="s">
        <v>206</v>
      </c>
      <c r="C7" s="269">
        <v>0.6</v>
      </c>
      <c r="D7" s="265" t="s">
        <v>36</v>
      </c>
      <c r="E7" s="266"/>
      <c r="F7" s="266"/>
      <c r="G7" s="267"/>
      <c r="H7" s="266"/>
      <c r="I7" s="268"/>
      <c r="N7" s="417"/>
      <c r="O7" s="418"/>
    </row>
    <row r="8" spans="1:15" ht="15.75" thickTop="1" x14ac:dyDescent="0.25">
      <c r="A8" s="284"/>
      <c r="B8" s="285" t="s">
        <v>207</v>
      </c>
      <c r="C8" s="286">
        <f>SUM(E3:H5)*(1+N3)</f>
        <v>9.4873196000000011</v>
      </c>
      <c r="D8" s="287" t="s">
        <v>36</v>
      </c>
      <c r="E8" s="288"/>
      <c r="F8" s="288"/>
      <c r="G8" s="289"/>
      <c r="H8" s="288"/>
      <c r="I8" s="290"/>
      <c r="N8" s="417"/>
      <c r="O8" s="418"/>
    </row>
    <row r="9" spans="1:15" x14ac:dyDescent="0.25">
      <c r="A9" s="284"/>
      <c r="B9" s="285" t="s">
        <v>208</v>
      </c>
      <c r="C9" s="286">
        <f>C8*C6*C7</f>
        <v>1.1384783520000001</v>
      </c>
      <c r="D9" s="287" t="s">
        <v>138</v>
      </c>
      <c r="E9" s="288"/>
      <c r="F9" s="288"/>
      <c r="G9" s="289"/>
      <c r="H9" s="288"/>
      <c r="I9" s="290"/>
      <c r="N9" s="417"/>
      <c r="O9" s="418"/>
    </row>
    <row r="10" spans="1:15" ht="15.75" thickBot="1" x14ac:dyDescent="0.3">
      <c r="A10" s="270"/>
      <c r="B10" s="271" t="s">
        <v>209</v>
      </c>
      <c r="C10" s="423">
        <f>C8*C6</f>
        <v>1.8974639200000003</v>
      </c>
      <c r="D10" s="272" t="s">
        <v>10</v>
      </c>
      <c r="E10" s="273"/>
      <c r="F10" s="273"/>
      <c r="G10" s="274"/>
      <c r="H10" s="273"/>
      <c r="I10" s="291"/>
      <c r="N10" s="421"/>
      <c r="O10" s="422"/>
    </row>
    <row r="11" spans="1:15" ht="15.75" thickBot="1" x14ac:dyDescent="0.3">
      <c r="B11"/>
    </row>
    <row r="12" spans="1:15" ht="15.75" thickBot="1" x14ac:dyDescent="0.3">
      <c r="A12" s="157" t="s">
        <v>203</v>
      </c>
      <c r="B12" s="204"/>
      <c r="C12" s="159"/>
      <c r="D12" s="208" t="s">
        <v>36</v>
      </c>
      <c r="E12" s="212" t="s">
        <v>142</v>
      </c>
      <c r="F12" s="212" t="s">
        <v>141</v>
      </c>
      <c r="G12" s="212" t="s">
        <v>201</v>
      </c>
      <c r="H12" s="226" t="s">
        <v>202</v>
      </c>
      <c r="I12" s="213" t="s">
        <v>179</v>
      </c>
      <c r="N12" s="431" t="s">
        <v>188</v>
      </c>
      <c r="O12" s="432"/>
    </row>
    <row r="13" spans="1:15" ht="15.75" thickBot="1" x14ac:dyDescent="0.3">
      <c r="A13" s="234" t="s">
        <v>210</v>
      </c>
      <c r="B13" s="196" t="s">
        <v>200</v>
      </c>
      <c r="C13" s="197">
        <v>50</v>
      </c>
      <c r="D13" s="218" t="s">
        <v>36</v>
      </c>
      <c r="E13" s="199"/>
      <c r="F13" s="199"/>
      <c r="G13" s="200">
        <f>SUM(W36:W39)/1000</f>
        <v>7.8432900000000005</v>
      </c>
      <c r="H13" s="199"/>
      <c r="I13" s="201">
        <f>SUM(E13:H13)</f>
        <v>7.8432900000000005</v>
      </c>
      <c r="N13" s="228"/>
      <c r="O13" s="229"/>
    </row>
    <row r="14" spans="1:15" ht="15.75" thickBot="1" x14ac:dyDescent="0.3">
      <c r="B14"/>
    </row>
    <row r="15" spans="1:15" ht="15.75" thickBot="1" x14ac:dyDescent="0.3">
      <c r="A15" s="157" t="s">
        <v>137</v>
      </c>
      <c r="B15" s="204"/>
      <c r="C15" s="159"/>
      <c r="D15" s="208" t="s">
        <v>36</v>
      </c>
      <c r="E15" s="212" t="s">
        <v>142</v>
      </c>
      <c r="F15" s="212" t="s">
        <v>141</v>
      </c>
      <c r="G15" s="212" t="s">
        <v>201</v>
      </c>
      <c r="H15" s="226" t="s">
        <v>202</v>
      </c>
      <c r="I15" s="213" t="s">
        <v>242</v>
      </c>
      <c r="K15" s="416" t="s">
        <v>179</v>
      </c>
      <c r="N15" s="431" t="s">
        <v>188</v>
      </c>
      <c r="O15" s="432"/>
    </row>
    <row r="16" spans="1:15" x14ac:dyDescent="0.25">
      <c r="A16" s="193"/>
      <c r="B16" s="161" t="s">
        <v>200</v>
      </c>
      <c r="C16" s="162">
        <v>40</v>
      </c>
      <c r="D16" s="209" t="s">
        <v>36</v>
      </c>
      <c r="E16" s="164">
        <f t="shared" ref="E16:F18" si="0">E45*(1+$N$16)</f>
        <v>1.1305360000000002</v>
      </c>
      <c r="F16" s="164">
        <f t="shared" si="0"/>
        <v>1.1290950000000002</v>
      </c>
      <c r="G16" s="165"/>
      <c r="H16" s="164"/>
      <c r="I16" s="166">
        <f>SUM(E16:H16)</f>
        <v>2.2596310000000006</v>
      </c>
      <c r="K16" s="435">
        <f>SUM(I16:I18)*(1+$N$16)</f>
        <v>24.552364100000005</v>
      </c>
      <c r="N16" s="419" t="s">
        <v>212</v>
      </c>
      <c r="O16" s="420" t="s">
        <v>190</v>
      </c>
    </row>
    <row r="17" spans="1:23" x14ac:dyDescent="0.25">
      <c r="A17" s="194"/>
      <c r="B17" s="172" t="s">
        <v>200</v>
      </c>
      <c r="C17" s="173">
        <v>50</v>
      </c>
      <c r="D17" s="210" t="s">
        <v>36</v>
      </c>
      <c r="E17" s="175">
        <f t="shared" si="0"/>
        <v>0.17474599999999998</v>
      </c>
      <c r="F17" s="175">
        <f t="shared" si="0"/>
        <v>0.36061300000000002</v>
      </c>
      <c r="G17" s="176">
        <f>G46*(1+$N$16)</f>
        <v>13.937220000000002</v>
      </c>
      <c r="H17" s="175"/>
      <c r="I17" s="177">
        <f>SUM(E17:H17)</f>
        <v>14.472579000000001</v>
      </c>
      <c r="K17" s="436"/>
      <c r="N17" s="417"/>
      <c r="O17" s="418"/>
    </row>
    <row r="18" spans="1:23" ht="15.75" thickBot="1" x14ac:dyDescent="0.3">
      <c r="A18" s="234"/>
      <c r="B18" s="196" t="s">
        <v>200</v>
      </c>
      <c r="C18" s="197">
        <v>100</v>
      </c>
      <c r="D18" s="218" t="s">
        <v>36</v>
      </c>
      <c r="E18" s="199">
        <f t="shared" si="0"/>
        <v>3.4257629999999999</v>
      </c>
      <c r="F18" s="199">
        <f t="shared" si="0"/>
        <v>1.7223580000000001</v>
      </c>
      <c r="G18" s="200"/>
      <c r="H18" s="199">
        <f>H47*(1+$N$16)</f>
        <v>0.44000000000000006</v>
      </c>
      <c r="I18" s="201">
        <f>SUM(E18:H18)</f>
        <v>5.5881210000000001</v>
      </c>
      <c r="K18" s="437"/>
      <c r="N18" s="421"/>
      <c r="O18" s="422"/>
    </row>
    <row r="19" spans="1:23" ht="15.75" thickBot="1" x14ac:dyDescent="0.3">
      <c r="A19" s="191"/>
      <c r="B19" s="6"/>
    </row>
    <row r="20" spans="1:23" ht="15.75" thickBot="1" x14ac:dyDescent="0.3">
      <c r="A20" s="157" t="s">
        <v>139</v>
      </c>
      <c r="B20" s="204"/>
      <c r="C20" s="159"/>
      <c r="D20" s="208" t="s">
        <v>36</v>
      </c>
      <c r="E20" s="212" t="s">
        <v>142</v>
      </c>
      <c r="F20" s="212" t="s">
        <v>141</v>
      </c>
      <c r="G20" s="212" t="s">
        <v>201</v>
      </c>
      <c r="H20" s="226" t="s">
        <v>202</v>
      </c>
      <c r="I20" s="391" t="s">
        <v>242</v>
      </c>
      <c r="K20" s="416" t="s">
        <v>179</v>
      </c>
      <c r="N20" s="431" t="s">
        <v>188</v>
      </c>
      <c r="O20" s="432"/>
    </row>
    <row r="21" spans="1:23" x14ac:dyDescent="0.25">
      <c r="A21" s="193"/>
      <c r="B21" s="161" t="s">
        <v>200</v>
      </c>
      <c r="C21" s="162">
        <v>40</v>
      </c>
      <c r="D21" s="209" t="s">
        <v>36</v>
      </c>
      <c r="E21" s="164">
        <f>E45*(1+$N$21)</f>
        <v>1.1305360000000002</v>
      </c>
      <c r="F21" s="164">
        <f>F45*(1+$N$21)</f>
        <v>1.1290950000000002</v>
      </c>
      <c r="G21" s="165"/>
      <c r="H21" s="164"/>
      <c r="I21" s="166">
        <f>SUM(E21:H21)</f>
        <v>2.2596310000000006</v>
      </c>
      <c r="K21" s="427">
        <f>I21*(1+$N$21)</f>
        <v>2.485594100000001</v>
      </c>
      <c r="N21" s="417" t="s">
        <v>212</v>
      </c>
      <c r="O21" s="418" t="s">
        <v>190</v>
      </c>
    </row>
    <row r="22" spans="1:23" ht="15.75" thickBot="1" x14ac:dyDescent="0.3">
      <c r="A22" s="251"/>
      <c r="B22" s="186" t="s">
        <v>200</v>
      </c>
      <c r="C22" s="187">
        <v>50</v>
      </c>
      <c r="D22" s="211" t="s">
        <v>36</v>
      </c>
      <c r="E22" s="188"/>
      <c r="F22" s="188"/>
      <c r="G22" s="189">
        <f>(SUM(W35)/1000)*(1+$N$16)</f>
        <v>3.9098400000000004</v>
      </c>
      <c r="H22" s="188"/>
      <c r="I22" s="190">
        <f>SUM(E22:H22)</f>
        <v>3.9098400000000004</v>
      </c>
      <c r="K22" s="428">
        <f>I22*(1+$N$21)</f>
        <v>4.3008240000000004</v>
      </c>
      <c r="N22" s="421"/>
      <c r="O22" s="422"/>
    </row>
    <row r="23" spans="1:23" ht="15.75" thickBot="1" x14ac:dyDescent="0.3">
      <c r="B23"/>
    </row>
    <row r="24" spans="1:23" ht="15.75" thickBot="1" x14ac:dyDescent="0.3">
      <c r="A24" s="157" t="s">
        <v>140</v>
      </c>
      <c r="B24" s="204"/>
      <c r="C24" s="159"/>
      <c r="D24" s="208"/>
      <c r="E24" s="212" t="s">
        <v>142</v>
      </c>
      <c r="F24" s="212" t="s">
        <v>141</v>
      </c>
      <c r="G24" s="212" t="s">
        <v>201</v>
      </c>
      <c r="H24" s="226" t="s">
        <v>202</v>
      </c>
      <c r="I24" s="213" t="s">
        <v>179</v>
      </c>
      <c r="K24" s="214" t="s">
        <v>41</v>
      </c>
      <c r="L24" s="433" t="s">
        <v>180</v>
      </c>
      <c r="M24" s="434"/>
      <c r="O24" s="219" t="s">
        <v>188</v>
      </c>
    </row>
    <row r="25" spans="1:23" ht="15.75" thickBot="1" x14ac:dyDescent="0.3">
      <c r="A25" s="216" t="s">
        <v>156</v>
      </c>
      <c r="B25" s="217" t="s">
        <v>178</v>
      </c>
      <c r="C25" s="197" t="s">
        <v>177</v>
      </c>
      <c r="D25" s="218" t="s">
        <v>1</v>
      </c>
      <c r="E25" s="231">
        <v>1</v>
      </c>
      <c r="F25" s="231">
        <v>1</v>
      </c>
      <c r="G25" s="231"/>
      <c r="H25" s="233"/>
      <c r="I25" s="232">
        <f>SUM(E25:H25)</f>
        <v>2</v>
      </c>
      <c r="K25" s="230">
        <v>2</v>
      </c>
      <c r="L25" s="233">
        <f>K25-I25</f>
        <v>0</v>
      </c>
      <c r="M25" s="202">
        <f>L25/K25</f>
        <v>0</v>
      </c>
      <c r="O25" s="181"/>
    </row>
    <row r="26" spans="1:23" ht="15.75" thickBot="1" x14ac:dyDescent="0.3">
      <c r="B26"/>
    </row>
    <row r="27" spans="1:23" ht="15.75" thickBot="1" x14ac:dyDescent="0.3">
      <c r="A27" s="157" t="s">
        <v>143</v>
      </c>
      <c r="B27" s="158"/>
      <c r="C27" s="159"/>
      <c r="D27" s="208"/>
      <c r="E27" s="226" t="s">
        <v>142</v>
      </c>
      <c r="F27" s="212" t="s">
        <v>141</v>
      </c>
      <c r="G27" s="212" t="s">
        <v>201</v>
      </c>
      <c r="H27" s="226" t="s">
        <v>202</v>
      </c>
      <c r="I27" s="213" t="s">
        <v>179</v>
      </c>
      <c r="K27" s="214" t="s">
        <v>41</v>
      </c>
      <c r="L27" s="433" t="s">
        <v>180</v>
      </c>
      <c r="M27" s="434"/>
      <c r="O27" s="219" t="s">
        <v>188</v>
      </c>
    </row>
    <row r="28" spans="1:23" x14ac:dyDescent="0.25">
      <c r="A28" s="193" t="s">
        <v>158</v>
      </c>
      <c r="B28" s="161" t="s">
        <v>198</v>
      </c>
      <c r="C28" s="162">
        <v>50</v>
      </c>
      <c r="D28" s="209" t="s">
        <v>1</v>
      </c>
      <c r="E28" s="182"/>
      <c r="F28" s="182"/>
      <c r="G28" s="168">
        <v>1</v>
      </c>
      <c r="H28" s="182"/>
      <c r="I28" s="183">
        <f>SUM(E28:H28)</f>
        <v>1</v>
      </c>
      <c r="K28" s="167">
        <v>1</v>
      </c>
      <c r="L28" s="168">
        <f>K28-I28</f>
        <v>0</v>
      </c>
      <c r="M28" s="169">
        <f>L28/K28</f>
        <v>0</v>
      </c>
      <c r="O28" s="170"/>
      <c r="S28" s="438">
        <v>40</v>
      </c>
      <c r="T28" s="246">
        <v>611.62</v>
      </c>
      <c r="U28" s="246">
        <v>611.45000000000005</v>
      </c>
      <c r="V28" s="236"/>
      <c r="W28" s="237"/>
    </row>
    <row r="29" spans="1:23" x14ac:dyDescent="0.25">
      <c r="A29" s="194" t="s">
        <v>159</v>
      </c>
      <c r="B29" s="172" t="s">
        <v>199</v>
      </c>
      <c r="C29" s="173" t="s">
        <v>175</v>
      </c>
      <c r="D29" s="210" t="s">
        <v>1</v>
      </c>
      <c r="E29" s="184">
        <v>1</v>
      </c>
      <c r="F29" s="184">
        <v>1</v>
      </c>
      <c r="G29" s="179">
        <v>1</v>
      </c>
      <c r="H29" s="184"/>
      <c r="I29" s="185">
        <f>SUM(E29:H29)</f>
        <v>3</v>
      </c>
      <c r="K29" s="178">
        <v>3</v>
      </c>
      <c r="L29" s="179">
        <f>K29-I29</f>
        <v>0</v>
      </c>
      <c r="M29" s="180">
        <f>L29/K29</f>
        <v>0</v>
      </c>
      <c r="O29" s="170"/>
      <c r="S29" s="439"/>
      <c r="T29" s="247">
        <v>265.12</v>
      </c>
      <c r="U29" s="247">
        <v>415</v>
      </c>
      <c r="V29" s="238"/>
      <c r="W29" s="239"/>
    </row>
    <row r="30" spans="1:23" x14ac:dyDescent="0.25">
      <c r="A30" s="193" t="s">
        <v>160</v>
      </c>
      <c r="B30" s="205" t="s">
        <v>192</v>
      </c>
      <c r="C30" s="162">
        <v>100</v>
      </c>
      <c r="D30" s="209" t="s">
        <v>1</v>
      </c>
      <c r="E30" s="182">
        <v>1</v>
      </c>
      <c r="F30" s="182">
        <v>1</v>
      </c>
      <c r="G30" s="168"/>
      <c r="H30" s="182"/>
      <c r="I30" s="183">
        <f>SUM(E30:H30)</f>
        <v>2</v>
      </c>
      <c r="K30" s="167">
        <v>2</v>
      </c>
      <c r="L30" s="168">
        <f>K30-I30</f>
        <v>0</v>
      </c>
      <c r="M30" s="169">
        <f>L30/K30</f>
        <v>0</v>
      </c>
      <c r="O30" s="170"/>
      <c r="S30" s="439"/>
      <c r="T30" s="247">
        <v>48.88</v>
      </c>
      <c r="U30" s="247"/>
      <c r="V30" s="238"/>
      <c r="W30" s="239"/>
    </row>
    <row r="31" spans="1:23" ht="15.75" thickBot="1" x14ac:dyDescent="0.3">
      <c r="A31" s="194" t="s">
        <v>161</v>
      </c>
      <c r="B31" s="172" t="s">
        <v>191</v>
      </c>
      <c r="C31" s="173">
        <v>50</v>
      </c>
      <c r="D31" s="210" t="s">
        <v>1</v>
      </c>
      <c r="E31" s="184">
        <f>E34+E38+(E40*2)+E42+(E29*2)</f>
        <v>7</v>
      </c>
      <c r="F31" s="184">
        <f>F34+F38+(F40*2)+F42+(F29*2)</f>
        <v>8</v>
      </c>
      <c r="G31" s="179">
        <f>G34+G38+(G40*2)+G42+(G29*2)</f>
        <v>11</v>
      </c>
      <c r="H31" s="184">
        <f>H34+H38+(H40*2)+H42+(H29*2)</f>
        <v>0</v>
      </c>
      <c r="I31" s="185">
        <f>SUM(E31:H31)</f>
        <v>26</v>
      </c>
      <c r="K31" s="178">
        <v>26</v>
      </c>
      <c r="L31" s="179">
        <f>K31-I31</f>
        <v>0</v>
      </c>
      <c r="M31" s="180">
        <f>L31/K31</f>
        <v>0</v>
      </c>
      <c r="O31" s="170"/>
      <c r="S31" s="440"/>
      <c r="T31" s="248">
        <v>102.14</v>
      </c>
      <c r="U31" s="248"/>
      <c r="V31" s="240"/>
      <c r="W31" s="241"/>
    </row>
    <row r="32" spans="1:23" x14ac:dyDescent="0.25">
      <c r="A32" s="193" t="s">
        <v>162</v>
      </c>
      <c r="B32" s="161" t="s">
        <v>191</v>
      </c>
      <c r="C32" s="162">
        <v>100</v>
      </c>
      <c r="D32" s="209" t="s">
        <v>1</v>
      </c>
      <c r="E32" s="182">
        <f>E30+E35+E39+(E41*2)+E43</f>
        <v>4</v>
      </c>
      <c r="F32" s="182">
        <f>F30+F35+F39+(F41*2)+F43</f>
        <v>4</v>
      </c>
      <c r="G32" s="168">
        <f>G30+G35+G39+(G41*2)+G43</f>
        <v>0</v>
      </c>
      <c r="H32" s="182">
        <f>H30+H35+H39+(H41*2)+H43</f>
        <v>6</v>
      </c>
      <c r="I32" s="183">
        <f>SUM(E32:H32)</f>
        <v>14</v>
      </c>
      <c r="K32" s="167">
        <v>14</v>
      </c>
      <c r="L32" s="168">
        <f>K32-I32</f>
        <v>0</v>
      </c>
      <c r="M32" s="169">
        <f>L32/K32</f>
        <v>0</v>
      </c>
      <c r="O32" s="170"/>
      <c r="S32" s="443">
        <v>50</v>
      </c>
      <c r="T32" s="249">
        <v>3.61</v>
      </c>
      <c r="U32" s="249">
        <v>158.04</v>
      </c>
      <c r="V32" s="242"/>
      <c r="W32" s="243">
        <v>3.03</v>
      </c>
    </row>
    <row r="33" spans="1:23" x14ac:dyDescent="0.25">
      <c r="A33" s="194" t="s">
        <v>163</v>
      </c>
      <c r="B33" s="172" t="s">
        <v>193</v>
      </c>
      <c r="C33" s="173">
        <v>40</v>
      </c>
      <c r="D33" s="210" t="s">
        <v>1</v>
      </c>
      <c r="E33" s="184">
        <v>2</v>
      </c>
      <c r="F33" s="184"/>
      <c r="G33" s="179"/>
      <c r="H33" s="184"/>
      <c r="I33" s="185">
        <f t="shared" ref="I33:I43" si="1">SUM(E33:H33)</f>
        <v>2</v>
      </c>
      <c r="K33" s="178">
        <v>2</v>
      </c>
      <c r="L33" s="179">
        <f t="shared" ref="L33:L43" si="2">K33-I33</f>
        <v>0</v>
      </c>
      <c r="M33" s="180">
        <f t="shared" ref="M33:M43" si="3">L33/K33</f>
        <v>0</v>
      </c>
      <c r="O33" s="170"/>
      <c r="S33" s="441"/>
      <c r="T33" s="250">
        <v>3.03</v>
      </c>
      <c r="U33" s="250">
        <v>169.79</v>
      </c>
      <c r="V33" s="244">
        <v>144.97999999999999</v>
      </c>
      <c r="W33" s="245">
        <v>152.83000000000001</v>
      </c>
    </row>
    <row r="34" spans="1:23" x14ac:dyDescent="0.25">
      <c r="A34" s="193" t="s">
        <v>164</v>
      </c>
      <c r="B34" s="161" t="s">
        <v>193</v>
      </c>
      <c r="C34" s="162">
        <v>50</v>
      </c>
      <c r="D34" s="209" t="s">
        <v>1</v>
      </c>
      <c r="E34" s="182">
        <v>1</v>
      </c>
      <c r="F34" s="182">
        <v>1</v>
      </c>
      <c r="G34" s="168">
        <v>2</v>
      </c>
      <c r="H34" s="182"/>
      <c r="I34" s="183">
        <f t="shared" si="1"/>
        <v>4</v>
      </c>
      <c r="K34" s="167">
        <v>4</v>
      </c>
      <c r="L34" s="168">
        <f t="shared" si="2"/>
        <v>0</v>
      </c>
      <c r="M34" s="169">
        <f t="shared" si="3"/>
        <v>0</v>
      </c>
      <c r="O34" s="170"/>
      <c r="S34" s="441"/>
      <c r="T34" s="250">
        <v>152.22</v>
      </c>
      <c r="U34" s="250"/>
      <c r="V34" s="244">
        <v>431.57</v>
      </c>
      <c r="W34" s="245">
        <v>540.1</v>
      </c>
    </row>
    <row r="35" spans="1:23" x14ac:dyDescent="0.25">
      <c r="A35" s="194" t="s">
        <v>165</v>
      </c>
      <c r="B35" s="172" t="s">
        <v>193</v>
      </c>
      <c r="C35" s="173">
        <v>100</v>
      </c>
      <c r="D35" s="210" t="s">
        <v>1</v>
      </c>
      <c r="E35" s="184"/>
      <c r="F35" s="184"/>
      <c r="G35" s="179"/>
      <c r="H35" s="184">
        <v>1</v>
      </c>
      <c r="I35" s="185">
        <f t="shared" si="1"/>
        <v>1</v>
      </c>
      <c r="K35" s="178">
        <v>1</v>
      </c>
      <c r="L35" s="179">
        <f t="shared" si="2"/>
        <v>0</v>
      </c>
      <c r="M35" s="180">
        <f t="shared" si="3"/>
        <v>0</v>
      </c>
      <c r="O35" s="170"/>
      <c r="S35" s="441"/>
      <c r="T35" s="250">
        <v>170.31</v>
      </c>
      <c r="U35" s="250"/>
      <c r="V35" s="244"/>
      <c r="W35" s="245">
        <v>3554.4</v>
      </c>
    </row>
    <row r="36" spans="1:23" x14ac:dyDescent="0.25">
      <c r="A36" s="193" t="s">
        <v>166</v>
      </c>
      <c r="B36" s="161" t="s">
        <v>195</v>
      </c>
      <c r="C36" s="162">
        <v>40</v>
      </c>
      <c r="D36" s="209" t="s">
        <v>1</v>
      </c>
      <c r="E36" s="182">
        <v>1</v>
      </c>
      <c r="F36" s="182">
        <v>1</v>
      </c>
      <c r="G36" s="168"/>
      <c r="H36" s="182"/>
      <c r="I36" s="183">
        <f t="shared" si="1"/>
        <v>2</v>
      </c>
      <c r="K36" s="167">
        <v>2</v>
      </c>
      <c r="L36" s="168">
        <f t="shared" si="2"/>
        <v>0</v>
      </c>
      <c r="M36" s="169">
        <f t="shared" si="3"/>
        <v>0</v>
      </c>
      <c r="O36" s="170"/>
      <c r="S36" s="441"/>
      <c r="T36" s="250"/>
      <c r="U36" s="250"/>
      <c r="V36" s="244"/>
      <c r="W36" s="245">
        <v>557.07000000000005</v>
      </c>
    </row>
    <row r="37" spans="1:23" x14ac:dyDescent="0.25">
      <c r="A37" s="194" t="s">
        <v>167</v>
      </c>
      <c r="B37" s="172" t="s">
        <v>194</v>
      </c>
      <c r="C37" s="173">
        <v>40</v>
      </c>
      <c r="D37" s="210" t="s">
        <v>1</v>
      </c>
      <c r="E37" s="184">
        <v>1</v>
      </c>
      <c r="F37" s="184">
        <v>1</v>
      </c>
      <c r="G37" s="179"/>
      <c r="H37" s="184"/>
      <c r="I37" s="185">
        <f t="shared" si="1"/>
        <v>2</v>
      </c>
      <c r="K37" s="178">
        <v>2</v>
      </c>
      <c r="L37" s="179">
        <f t="shared" si="2"/>
        <v>0</v>
      </c>
      <c r="M37" s="180">
        <f t="shared" si="3"/>
        <v>0</v>
      </c>
      <c r="O37" s="170"/>
      <c r="S37" s="441"/>
      <c r="T37" s="250"/>
      <c r="U37" s="250"/>
      <c r="V37" s="244"/>
      <c r="W37" s="245">
        <v>3298.63</v>
      </c>
    </row>
    <row r="38" spans="1:23" x14ac:dyDescent="0.25">
      <c r="A38" s="193" t="s">
        <v>168</v>
      </c>
      <c r="B38" s="161" t="s">
        <v>194</v>
      </c>
      <c r="C38" s="162">
        <v>50</v>
      </c>
      <c r="D38" s="209" t="s">
        <v>1</v>
      </c>
      <c r="E38" s="182"/>
      <c r="F38" s="182"/>
      <c r="G38" s="168">
        <v>3</v>
      </c>
      <c r="H38" s="182"/>
      <c r="I38" s="183">
        <f t="shared" si="1"/>
        <v>3</v>
      </c>
      <c r="K38" s="167">
        <v>3</v>
      </c>
      <c r="L38" s="168">
        <f t="shared" si="2"/>
        <v>0</v>
      </c>
      <c r="M38" s="169">
        <f t="shared" si="3"/>
        <v>0</v>
      </c>
      <c r="O38" s="170"/>
      <c r="S38" s="441"/>
      <c r="T38" s="250"/>
      <c r="U38" s="250"/>
      <c r="V38" s="244"/>
      <c r="W38" s="245">
        <v>3298.78</v>
      </c>
    </row>
    <row r="39" spans="1:23" ht="15.75" thickBot="1" x14ac:dyDescent="0.3">
      <c r="A39" s="194" t="s">
        <v>169</v>
      </c>
      <c r="B39" s="172" t="s">
        <v>194</v>
      </c>
      <c r="C39" s="173">
        <v>100</v>
      </c>
      <c r="D39" s="210" t="s">
        <v>1</v>
      </c>
      <c r="E39" s="184">
        <v>1</v>
      </c>
      <c r="F39" s="184">
        <v>1</v>
      </c>
      <c r="G39" s="179"/>
      <c r="H39" s="184"/>
      <c r="I39" s="185">
        <f t="shared" si="1"/>
        <v>2</v>
      </c>
      <c r="K39" s="178">
        <v>2</v>
      </c>
      <c r="L39" s="179">
        <f t="shared" si="2"/>
        <v>0</v>
      </c>
      <c r="M39" s="180">
        <f t="shared" si="3"/>
        <v>0</v>
      </c>
      <c r="O39" s="170"/>
      <c r="S39" s="442"/>
      <c r="T39" s="248"/>
      <c r="U39" s="248"/>
      <c r="V39" s="240"/>
      <c r="W39" s="241">
        <v>688.81</v>
      </c>
    </row>
    <row r="40" spans="1:23" x14ac:dyDescent="0.25">
      <c r="A40" s="193" t="s">
        <v>170</v>
      </c>
      <c r="B40" s="161" t="s">
        <v>196</v>
      </c>
      <c r="C40" s="162" t="s">
        <v>172</v>
      </c>
      <c r="D40" s="209" t="s">
        <v>1</v>
      </c>
      <c r="E40" s="182">
        <v>1</v>
      </c>
      <c r="F40" s="182">
        <v>1</v>
      </c>
      <c r="G40" s="168"/>
      <c r="H40" s="182"/>
      <c r="I40" s="183">
        <f t="shared" si="1"/>
        <v>2</v>
      </c>
      <c r="K40" s="167">
        <v>2</v>
      </c>
      <c r="L40" s="168">
        <f t="shared" si="2"/>
        <v>0</v>
      </c>
      <c r="M40" s="169">
        <f t="shared" si="3"/>
        <v>0</v>
      </c>
      <c r="O40" s="170"/>
      <c r="S40" s="441">
        <v>100</v>
      </c>
      <c r="T40" s="250">
        <v>92.55</v>
      </c>
      <c r="U40" s="250">
        <v>65.25</v>
      </c>
      <c r="V40" s="244"/>
      <c r="W40" s="245"/>
    </row>
    <row r="41" spans="1:23" x14ac:dyDescent="0.25">
      <c r="A41" s="194" t="s">
        <v>171</v>
      </c>
      <c r="B41" s="172" t="s">
        <v>196</v>
      </c>
      <c r="C41" s="173" t="s">
        <v>176</v>
      </c>
      <c r="D41" s="210" t="s">
        <v>1</v>
      </c>
      <c r="E41" s="184"/>
      <c r="F41" s="184"/>
      <c r="G41" s="179"/>
      <c r="H41" s="184">
        <v>1</v>
      </c>
      <c r="I41" s="185">
        <f t="shared" si="1"/>
        <v>1</v>
      </c>
      <c r="K41" s="178">
        <v>1</v>
      </c>
      <c r="L41" s="179">
        <f t="shared" si="2"/>
        <v>0</v>
      </c>
      <c r="M41" s="180">
        <f t="shared" si="3"/>
        <v>0</v>
      </c>
      <c r="O41" s="170"/>
      <c r="S41" s="441"/>
      <c r="T41" s="250">
        <v>675.8</v>
      </c>
      <c r="U41" s="250">
        <v>1431.86</v>
      </c>
      <c r="V41" s="244"/>
      <c r="W41" s="245"/>
    </row>
    <row r="42" spans="1:23" x14ac:dyDescent="0.25">
      <c r="A42" s="193" t="s">
        <v>173</v>
      </c>
      <c r="B42" s="161" t="s">
        <v>197</v>
      </c>
      <c r="C42" s="162">
        <v>50</v>
      </c>
      <c r="D42" s="209" t="s">
        <v>1</v>
      </c>
      <c r="E42" s="182">
        <v>2</v>
      </c>
      <c r="F42" s="182">
        <v>3</v>
      </c>
      <c r="G42" s="168">
        <v>4</v>
      </c>
      <c r="H42" s="182"/>
      <c r="I42" s="183">
        <f t="shared" si="1"/>
        <v>9</v>
      </c>
      <c r="K42" s="167">
        <v>9</v>
      </c>
      <c r="L42" s="168">
        <f t="shared" si="2"/>
        <v>0</v>
      </c>
      <c r="M42" s="169">
        <f t="shared" si="3"/>
        <v>0</v>
      </c>
      <c r="O42" s="170"/>
      <c r="S42" s="441"/>
      <c r="T42" s="250">
        <v>1269.29</v>
      </c>
      <c r="U42" s="250"/>
      <c r="V42" s="244"/>
      <c r="W42" s="245"/>
    </row>
    <row r="43" spans="1:23" ht="15.75" thickBot="1" x14ac:dyDescent="0.3">
      <c r="A43" s="194" t="s">
        <v>174</v>
      </c>
      <c r="B43" s="172" t="s">
        <v>197</v>
      </c>
      <c r="C43" s="173">
        <v>100</v>
      </c>
      <c r="D43" s="210" t="s">
        <v>1</v>
      </c>
      <c r="E43" s="184">
        <v>2</v>
      </c>
      <c r="F43" s="184">
        <v>2</v>
      </c>
      <c r="G43" s="179"/>
      <c r="H43" s="184">
        <v>3</v>
      </c>
      <c r="I43" s="185">
        <f t="shared" si="1"/>
        <v>7</v>
      </c>
      <c r="K43" s="178">
        <v>7</v>
      </c>
      <c r="L43" s="179">
        <f t="shared" si="2"/>
        <v>0</v>
      </c>
      <c r="M43" s="180">
        <f t="shared" si="3"/>
        <v>0</v>
      </c>
      <c r="O43" s="170"/>
      <c r="S43" s="441"/>
      <c r="T43" s="250">
        <v>759.56</v>
      </c>
      <c r="U43" s="250"/>
      <c r="V43" s="244"/>
      <c r="W43" s="245"/>
    </row>
    <row r="44" spans="1:23" ht="15.75" thickBot="1" x14ac:dyDescent="0.3">
      <c r="A44" s="157" t="s">
        <v>155</v>
      </c>
      <c r="B44" s="158"/>
      <c r="C44" s="159"/>
      <c r="D44" s="208"/>
      <c r="E44" s="226" t="s">
        <v>142</v>
      </c>
      <c r="F44" s="212" t="s">
        <v>141</v>
      </c>
      <c r="G44" s="212" t="s">
        <v>201</v>
      </c>
      <c r="H44" s="226" t="s">
        <v>202</v>
      </c>
      <c r="I44" s="213" t="s">
        <v>179</v>
      </c>
      <c r="K44" s="214" t="s">
        <v>41</v>
      </c>
      <c r="L44" s="433" t="s">
        <v>180</v>
      </c>
      <c r="M44" s="434"/>
      <c r="O44" s="219" t="s">
        <v>188</v>
      </c>
      <c r="S44" s="441"/>
      <c r="T44" s="250">
        <v>248.77</v>
      </c>
      <c r="U44" s="250"/>
      <c r="V44" s="244"/>
      <c r="W44" s="245"/>
    </row>
    <row r="45" spans="1:23" x14ac:dyDescent="0.25">
      <c r="A45" s="193"/>
      <c r="B45" s="161" t="s">
        <v>200</v>
      </c>
      <c r="C45" s="162">
        <v>40</v>
      </c>
      <c r="D45" s="209" t="s">
        <v>36</v>
      </c>
      <c r="E45" s="164">
        <f>SUM(T28:T31)/1000</f>
        <v>1.02776</v>
      </c>
      <c r="F45" s="164">
        <f>SUM(U28:U31)/1000</f>
        <v>1.0264500000000001</v>
      </c>
      <c r="G45" s="165"/>
      <c r="H45" s="164"/>
      <c r="I45" s="166">
        <f>SUM(E45:H45)</f>
        <v>2.0542100000000003</v>
      </c>
      <c r="K45" s="163">
        <v>2.0499999999999998</v>
      </c>
      <c r="L45" s="165">
        <f>K45-I45</f>
        <v>-4.2100000000004911E-3</v>
      </c>
      <c r="M45" s="169">
        <f>L45/K45</f>
        <v>-2.0536585365856057E-3</v>
      </c>
      <c r="O45" s="235"/>
      <c r="S45" s="441"/>
      <c r="T45" s="250">
        <v>68.36</v>
      </c>
      <c r="U45" s="250">
        <v>68.67</v>
      </c>
      <c r="V45" s="244">
        <v>400</v>
      </c>
      <c r="W45" s="245"/>
    </row>
    <row r="46" spans="1:23" ht="15.75" thickBot="1" x14ac:dyDescent="0.3">
      <c r="A46" s="194"/>
      <c r="B46" s="172" t="s">
        <v>200</v>
      </c>
      <c r="C46" s="173">
        <v>50</v>
      </c>
      <c r="D46" s="210" t="s">
        <v>36</v>
      </c>
      <c r="E46" s="175">
        <f>SUM(T32:T34)/1000</f>
        <v>0.15885999999999997</v>
      </c>
      <c r="F46" s="175">
        <f>SUM(U32:U34)/1000</f>
        <v>0.32783000000000001</v>
      </c>
      <c r="G46" s="176">
        <f>SUM(V32:W39)/1000</f>
        <v>12.670200000000001</v>
      </c>
      <c r="H46" s="175"/>
      <c r="I46" s="177">
        <f>SUM(E46:H46)</f>
        <v>13.156890000000001</v>
      </c>
      <c r="K46" s="174">
        <v>13.34</v>
      </c>
      <c r="L46" s="176">
        <f>K46-I46</f>
        <v>0.18310999999999922</v>
      </c>
      <c r="M46" s="180">
        <f>L46/K46</f>
        <v>1.3726386806596644E-2</v>
      </c>
      <c r="O46" s="195"/>
      <c r="S46" s="442"/>
      <c r="T46" s="248"/>
      <c r="U46" s="248"/>
      <c r="V46" s="240"/>
      <c r="W46" s="241"/>
    </row>
    <row r="47" spans="1:23" ht="15.75" thickBot="1" x14ac:dyDescent="0.3">
      <c r="A47" s="234"/>
      <c r="B47" s="196" t="s">
        <v>200</v>
      </c>
      <c r="C47" s="197">
        <v>100</v>
      </c>
      <c r="D47" s="218" t="s">
        <v>36</v>
      </c>
      <c r="E47" s="199">
        <f>SUM(T40:T46)/1000</f>
        <v>3.1143299999999998</v>
      </c>
      <c r="F47" s="199">
        <f>SUM(U40:U46)/1000</f>
        <v>1.5657799999999999</v>
      </c>
      <c r="G47" s="200"/>
      <c r="H47" s="199">
        <f>SUM(V40:W46)/1000</f>
        <v>0.4</v>
      </c>
      <c r="I47" s="201">
        <f>SUM(E47:H47)</f>
        <v>5.0801100000000003</v>
      </c>
      <c r="K47" s="198">
        <v>5.08</v>
      </c>
      <c r="L47" s="200">
        <f>K47-I47</f>
        <v>-1.1000000000027654E-4</v>
      </c>
      <c r="M47" s="202">
        <f>L47/K47</f>
        <v>-2.1653543307141051E-5</v>
      </c>
      <c r="O47" s="203"/>
    </row>
    <row r="48" spans="1:23" ht="15.75" thickBot="1" x14ac:dyDescent="0.3">
      <c r="B48"/>
    </row>
    <row r="49" spans="1:15" ht="15.75" thickBot="1" x14ac:dyDescent="0.3">
      <c r="A49" s="157" t="s">
        <v>211</v>
      </c>
      <c r="B49" s="309"/>
      <c r="C49" s="226" t="s">
        <v>2</v>
      </c>
      <c r="D49" s="212" t="s">
        <v>3</v>
      </c>
      <c r="E49" s="213" t="s">
        <v>7</v>
      </c>
      <c r="O49" s="292" t="s">
        <v>188</v>
      </c>
    </row>
    <row r="50" spans="1:15" ht="15.75" thickBot="1" x14ac:dyDescent="0.3">
      <c r="A50" s="234"/>
      <c r="B50" s="310"/>
      <c r="C50" s="199">
        <v>1.5</v>
      </c>
      <c r="D50" s="199">
        <v>1.62</v>
      </c>
      <c r="E50" s="201">
        <f>C50*D50</f>
        <v>2.4300000000000002</v>
      </c>
      <c r="O50" s="293"/>
    </row>
    <row r="52" spans="1:15" x14ac:dyDescent="0.25">
      <c r="B52"/>
    </row>
    <row r="53" spans="1:15" x14ac:dyDescent="0.25">
      <c r="B53"/>
    </row>
    <row r="54" spans="1:15" x14ac:dyDescent="0.25">
      <c r="B54"/>
    </row>
    <row r="69" spans="2:2" x14ac:dyDescent="0.25">
      <c r="B69"/>
    </row>
    <row r="72" spans="2:2" x14ac:dyDescent="0.25">
      <c r="B72"/>
    </row>
    <row r="73" spans="2:2" x14ac:dyDescent="0.25">
      <c r="B73"/>
    </row>
    <row r="74" spans="2:2" x14ac:dyDescent="0.25">
      <c r="B74"/>
    </row>
    <row r="75" spans="2:2" x14ac:dyDescent="0.25">
      <c r="B75"/>
    </row>
    <row r="76" spans="2:2" x14ac:dyDescent="0.25">
      <c r="B76"/>
    </row>
    <row r="77" spans="2:2" x14ac:dyDescent="0.25">
      <c r="B77"/>
    </row>
    <row r="78" spans="2:2" x14ac:dyDescent="0.25">
      <c r="B78"/>
    </row>
    <row r="79" spans="2:2" x14ac:dyDescent="0.25">
      <c r="B79"/>
    </row>
    <row r="80" spans="2:2" x14ac:dyDescent="0.25">
      <c r="B80"/>
    </row>
    <row r="81" spans="2:2" x14ac:dyDescent="0.25">
      <c r="B81"/>
    </row>
    <row r="82" spans="2:2" x14ac:dyDescent="0.25">
      <c r="B82"/>
    </row>
    <row r="83" spans="2:2" x14ac:dyDescent="0.25">
      <c r="B83"/>
    </row>
  </sheetData>
  <mergeCells count="11">
    <mergeCell ref="K16:K18"/>
    <mergeCell ref="N2:O2"/>
    <mergeCell ref="L44:M44"/>
    <mergeCell ref="S28:S31"/>
    <mergeCell ref="S40:S46"/>
    <mergeCell ref="S32:S39"/>
    <mergeCell ref="L24:M24"/>
    <mergeCell ref="L27:M27"/>
    <mergeCell ref="N15:O15"/>
    <mergeCell ref="N20:O20"/>
    <mergeCell ref="N12:O12"/>
  </mergeCells>
  <conditionalFormatting sqref="L45:M47 L25:M25 L28:M28 L43:M43 L30:M32">
    <cfRule type="cellIs" dxfId="14" priority="23" operator="equal">
      <formula>0</formula>
    </cfRule>
  </conditionalFormatting>
  <conditionalFormatting sqref="L29:M29">
    <cfRule type="cellIs" dxfId="13" priority="13" operator="equal">
      <formula>0</formula>
    </cfRule>
  </conditionalFormatting>
  <conditionalFormatting sqref="L33:M34">
    <cfRule type="cellIs" dxfId="12" priority="5" operator="equal">
      <formula>0</formula>
    </cfRule>
  </conditionalFormatting>
  <conditionalFormatting sqref="L35:M36">
    <cfRule type="cellIs" dxfId="11" priority="4" operator="equal">
      <formula>0</formula>
    </cfRule>
  </conditionalFormatting>
  <conditionalFormatting sqref="L37:M38">
    <cfRule type="cellIs" dxfId="10" priority="3" operator="equal">
      <formula>0</formula>
    </cfRule>
  </conditionalFormatting>
  <conditionalFormatting sqref="L39:M40">
    <cfRule type="cellIs" dxfId="9" priority="2" operator="equal">
      <formula>0</formula>
    </cfRule>
  </conditionalFormatting>
  <conditionalFormatting sqref="L41:M42">
    <cfRule type="cellIs" dxfId="8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T61"/>
  <sheetViews>
    <sheetView showGridLines="0" topLeftCell="U1" zoomScale="85" zoomScaleNormal="85" workbookViewId="0">
      <selection activeCell="AL16" sqref="AL16"/>
    </sheetView>
  </sheetViews>
  <sheetFormatPr defaultRowHeight="15" x14ac:dyDescent="0.25"/>
  <cols>
    <col min="1" max="1" width="7.85546875" style="191" customWidth="1"/>
    <col min="2" max="2" width="44.85546875" style="207" bestFit="1" customWidth="1"/>
    <col min="3" max="3" width="11.140625" bestFit="1" customWidth="1"/>
    <col min="4" max="4" width="5.28515625" bestFit="1" customWidth="1"/>
    <col min="5" max="5" width="6.140625" bestFit="1" customWidth="1"/>
    <col min="6" max="6" width="5.42578125" bestFit="1" customWidth="1"/>
    <col min="7" max="7" width="6" bestFit="1" customWidth="1"/>
    <col min="8" max="8" width="5.7109375" bestFit="1" customWidth="1"/>
    <col min="9" max="9" width="2.7109375" customWidth="1"/>
    <col min="10" max="10" width="9.140625" bestFit="1" customWidth="1"/>
    <col min="11" max="11" width="5.28515625" bestFit="1" customWidth="1"/>
    <col min="12" max="12" width="6.85546875" bestFit="1" customWidth="1"/>
    <col min="13" max="13" width="5.7109375" bestFit="1" customWidth="1"/>
    <col min="14" max="14" width="25.140625" bestFit="1" customWidth="1"/>
    <col min="15" max="15" width="4.5703125" bestFit="1" customWidth="1"/>
    <col min="16" max="16" width="5.42578125" bestFit="1" customWidth="1"/>
    <col min="17" max="17" width="6.5703125" bestFit="1" customWidth="1"/>
    <col min="18" max="18" width="44.140625" bestFit="1" customWidth="1"/>
    <col min="19" max="19" width="8.28515625" bestFit="1" customWidth="1"/>
    <col min="20" max="20" width="2.5703125" bestFit="1" customWidth="1"/>
    <col min="21" max="22" width="8.140625" customWidth="1"/>
    <col min="23" max="38" width="8" customWidth="1"/>
    <col min="39" max="39" width="11.42578125" bestFit="1" customWidth="1"/>
    <col min="40" max="40" width="15" customWidth="1"/>
    <col min="41" max="41" width="2.42578125" customWidth="1"/>
    <col min="42" max="42" width="12.42578125" bestFit="1" customWidth="1"/>
    <col min="45" max="45" width="2.42578125" customWidth="1"/>
    <col min="46" max="46" width="39.85546875" customWidth="1"/>
  </cols>
  <sheetData>
    <row r="1" spans="1:46" ht="15.75" thickBot="1" x14ac:dyDescent="0.3">
      <c r="B1" s="6"/>
    </row>
    <row r="2" spans="1:46" ht="15.75" thickBot="1" x14ac:dyDescent="0.3">
      <c r="A2" s="157" t="s">
        <v>137</v>
      </c>
      <c r="B2" s="204"/>
      <c r="C2" s="159"/>
      <c r="D2" s="208"/>
      <c r="E2" s="226" t="s">
        <v>142</v>
      </c>
      <c r="F2" s="212" t="s">
        <v>141</v>
      </c>
      <c r="G2" s="212" t="s">
        <v>253</v>
      </c>
      <c r="H2" s="294" t="s">
        <v>179</v>
      </c>
      <c r="M2" s="431" t="s">
        <v>188</v>
      </c>
      <c r="N2" s="432"/>
      <c r="Q2" s="157" t="s">
        <v>237</v>
      </c>
      <c r="R2" s="159"/>
      <c r="S2" s="159"/>
      <c r="T2" s="159"/>
      <c r="U2" s="159"/>
      <c r="V2" s="159"/>
      <c r="W2" s="159"/>
      <c r="X2" s="159"/>
      <c r="Y2" s="159"/>
      <c r="Z2" s="159"/>
      <c r="AA2" s="159"/>
      <c r="AB2" s="159"/>
      <c r="AC2" s="159"/>
      <c r="AD2" s="159"/>
      <c r="AE2" s="159"/>
      <c r="AF2" s="159"/>
      <c r="AG2" s="159"/>
      <c r="AH2" s="159"/>
      <c r="AI2" s="159"/>
      <c r="AJ2" s="159"/>
      <c r="AK2" s="159"/>
      <c r="AL2" s="159"/>
      <c r="AM2" s="214" t="s">
        <v>242</v>
      </c>
      <c r="AN2" s="319" t="s">
        <v>179</v>
      </c>
      <c r="AP2" s="214" t="s">
        <v>41</v>
      </c>
      <c r="AQ2" s="433" t="s">
        <v>180</v>
      </c>
      <c r="AR2" s="434"/>
      <c r="AT2" s="219" t="s">
        <v>188</v>
      </c>
    </row>
    <row r="3" spans="1:46" ht="15.75" thickBot="1" x14ac:dyDescent="0.3">
      <c r="A3" s="216"/>
      <c r="B3" s="217" t="s">
        <v>264</v>
      </c>
      <c r="C3" s="197">
        <v>25</v>
      </c>
      <c r="D3" s="218" t="s">
        <v>36</v>
      </c>
      <c r="E3" s="199">
        <f>E12+E13</f>
        <v>8.1616747704246801</v>
      </c>
      <c r="F3" s="200">
        <f>F12+F13</f>
        <v>5.2100699081698734</v>
      </c>
      <c r="G3" s="200"/>
      <c r="H3" s="201">
        <f>SUM(E3:G3)*(1+M3)</f>
        <v>14.70891914645401</v>
      </c>
      <c r="M3" s="228" t="s">
        <v>212</v>
      </c>
      <c r="N3" s="229" t="s">
        <v>190</v>
      </c>
      <c r="Q3" s="347" t="s">
        <v>239</v>
      </c>
      <c r="R3" s="348" t="s">
        <v>241</v>
      </c>
      <c r="S3" s="349" t="s">
        <v>240</v>
      </c>
      <c r="T3" s="350" t="s">
        <v>36</v>
      </c>
      <c r="U3" s="350"/>
      <c r="V3" s="351"/>
      <c r="W3" s="351"/>
      <c r="X3" s="351"/>
      <c r="Y3" s="351"/>
      <c r="Z3" s="351"/>
      <c r="AA3" s="351"/>
      <c r="AB3" s="351"/>
      <c r="AC3" s="351"/>
      <c r="AD3" s="351"/>
      <c r="AE3" s="351"/>
      <c r="AF3" s="351"/>
      <c r="AG3" s="351"/>
      <c r="AH3" s="351"/>
      <c r="AI3" s="351"/>
      <c r="AJ3" s="351"/>
      <c r="AK3" s="351"/>
      <c r="AL3" s="352"/>
      <c r="AM3" s="353">
        <f>SUM(U4:AL6)</f>
        <v>16.035800000000002</v>
      </c>
      <c r="AN3" s="354">
        <f>SUM(AM3:AM12)</f>
        <v>43.81600000000001</v>
      </c>
      <c r="AP3" s="355">
        <f>11.04+5.24</f>
        <v>16.28</v>
      </c>
      <c r="AQ3" s="351">
        <f>AP3-AM3</f>
        <v>0.24419999999999931</v>
      </c>
      <c r="AR3" s="356">
        <f>AQ3/AP3</f>
        <v>1.4999999999999956E-2</v>
      </c>
      <c r="AT3" s="315"/>
    </row>
    <row r="4" spans="1:46" ht="15.75" thickBot="1" x14ac:dyDescent="0.3">
      <c r="B4" s="6"/>
      <c r="Q4" s="171"/>
      <c r="R4" s="206" t="s">
        <v>255</v>
      </c>
      <c r="S4" s="173"/>
      <c r="T4" s="210"/>
      <c r="U4" s="176">
        <v>0.53</v>
      </c>
      <c r="V4" s="326">
        <v>0.2</v>
      </c>
      <c r="W4" s="176">
        <v>0.13669999999999999</v>
      </c>
      <c r="X4" s="328">
        <v>0.1</v>
      </c>
      <c r="Y4" s="176">
        <v>7.2099999999999997E-2</v>
      </c>
      <c r="Z4" s="327">
        <v>2.5000000000000001E-2</v>
      </c>
      <c r="AA4" s="176">
        <v>0.96389999999999998</v>
      </c>
      <c r="AB4" s="326">
        <v>0.2</v>
      </c>
      <c r="AC4" s="176">
        <v>0.66969999999999996</v>
      </c>
      <c r="AD4" s="327">
        <v>2.5000000000000001E-2</v>
      </c>
      <c r="AE4" s="176">
        <v>7.3300000000000004E-2</v>
      </c>
      <c r="AF4" s="328">
        <v>0.1</v>
      </c>
      <c r="AG4" s="176">
        <v>0.36649999999999999</v>
      </c>
      <c r="AH4" s="327">
        <v>2.5000000000000001E-2</v>
      </c>
      <c r="AI4" s="176">
        <v>0.93169999999999997</v>
      </c>
      <c r="AJ4" s="327">
        <v>2.5000000000000001E-2</v>
      </c>
      <c r="AK4" s="316">
        <v>2.4573999999999998</v>
      </c>
      <c r="AL4" s="329">
        <v>0.15</v>
      </c>
      <c r="AM4" s="318"/>
      <c r="AN4" s="321"/>
      <c r="AP4" s="178"/>
      <c r="AQ4" s="179"/>
      <c r="AR4" s="180"/>
      <c r="AT4" s="170"/>
    </row>
    <row r="5" spans="1:46" ht="15.75" thickBot="1" x14ac:dyDescent="0.3">
      <c r="A5" s="157" t="s">
        <v>139</v>
      </c>
      <c r="B5" s="204"/>
      <c r="C5" s="159"/>
      <c r="D5" s="208"/>
      <c r="E5" s="226" t="s">
        <v>142</v>
      </c>
      <c r="F5" s="212" t="s">
        <v>141</v>
      </c>
      <c r="G5" s="212" t="s">
        <v>253</v>
      </c>
      <c r="H5" s="294" t="s">
        <v>179</v>
      </c>
      <c r="M5" s="431" t="s">
        <v>188</v>
      </c>
      <c r="N5" s="432"/>
      <c r="Q5" s="171"/>
      <c r="R5" s="206"/>
      <c r="S5" s="173"/>
      <c r="T5" s="210"/>
      <c r="U5" s="176"/>
      <c r="V5" s="176"/>
      <c r="W5" s="176">
        <v>0.91830000000000001</v>
      </c>
      <c r="X5" s="327">
        <v>2.5000000000000001E-2</v>
      </c>
      <c r="Y5" s="176">
        <v>2.4828000000000001</v>
      </c>
      <c r="Z5" s="329">
        <v>0.15</v>
      </c>
      <c r="AA5" s="176"/>
      <c r="AB5" s="176"/>
      <c r="AC5" s="176"/>
      <c r="AD5" s="176"/>
      <c r="AE5" s="176"/>
      <c r="AF5" s="176"/>
      <c r="AG5" s="176"/>
      <c r="AH5" s="176"/>
      <c r="AI5" s="176"/>
      <c r="AJ5" s="176"/>
      <c r="AK5" s="316"/>
      <c r="AL5" s="316"/>
      <c r="AM5" s="318"/>
      <c r="AN5" s="321"/>
      <c r="AP5" s="174"/>
      <c r="AQ5" s="176"/>
      <c r="AR5" s="180"/>
      <c r="AT5" s="170"/>
    </row>
    <row r="6" spans="1:46" ht="15.75" thickBot="1" x14ac:dyDescent="0.3">
      <c r="A6" s="216"/>
      <c r="B6" s="217"/>
      <c r="C6" s="197">
        <v>25</v>
      </c>
      <c r="D6" s="218" t="s">
        <v>36</v>
      </c>
      <c r="E6" s="199">
        <f>E12</f>
        <v>4.9401999999999999</v>
      </c>
      <c r="F6" s="200">
        <f>F12</f>
        <v>2.5498000000000003</v>
      </c>
      <c r="G6" s="200"/>
      <c r="H6" s="201">
        <f>SUM(E6:G6)*(1+M6)</f>
        <v>8.2390000000000008</v>
      </c>
      <c r="M6" s="228" t="s">
        <v>212</v>
      </c>
      <c r="N6" s="229" t="s">
        <v>190</v>
      </c>
      <c r="Q6" s="330"/>
      <c r="R6" s="331" t="s">
        <v>254</v>
      </c>
      <c r="S6" s="332"/>
      <c r="T6" s="333"/>
      <c r="U6" s="334">
        <v>0.53</v>
      </c>
      <c r="V6" s="336">
        <v>0.2</v>
      </c>
      <c r="W6" s="334">
        <v>0.13669999999999999</v>
      </c>
      <c r="X6" s="337">
        <v>0.1</v>
      </c>
      <c r="Y6" s="334">
        <v>7.2099999999999997E-2</v>
      </c>
      <c r="Z6" s="335">
        <v>2.5000000000000001E-2</v>
      </c>
      <c r="AA6" s="334">
        <v>0.96389999999999998</v>
      </c>
      <c r="AB6" s="336">
        <v>0.2</v>
      </c>
      <c r="AC6" s="334">
        <v>0.30590000000000001</v>
      </c>
      <c r="AD6" s="335">
        <v>2.5000000000000001E-2</v>
      </c>
      <c r="AE6" s="334">
        <v>2.4828000000000001</v>
      </c>
      <c r="AF6" s="338">
        <v>0.15</v>
      </c>
      <c r="AG6" s="334">
        <v>6.7000000000000004E-2</v>
      </c>
      <c r="AH6" s="338">
        <v>0.15</v>
      </c>
      <c r="AI6" s="334"/>
      <c r="AJ6" s="334"/>
      <c r="AK6" s="339"/>
      <c r="AL6" s="339"/>
      <c r="AM6" s="340"/>
      <c r="AN6" s="341"/>
      <c r="AP6" s="357"/>
      <c r="AQ6" s="358"/>
      <c r="AR6" s="359"/>
      <c r="AT6" s="170"/>
    </row>
    <row r="7" spans="1:46" ht="15.75" thickBot="1" x14ac:dyDescent="0.3">
      <c r="A7"/>
      <c r="B7"/>
      <c r="Q7" s="171"/>
      <c r="R7" s="206" t="s">
        <v>256</v>
      </c>
      <c r="S7" s="173"/>
      <c r="T7" s="210"/>
      <c r="U7" s="176">
        <v>0.53</v>
      </c>
      <c r="V7" s="326">
        <v>0.2</v>
      </c>
      <c r="W7" s="176">
        <v>0.13669999999999999</v>
      </c>
      <c r="X7" s="328">
        <v>0.1</v>
      </c>
      <c r="Y7" s="176">
        <v>7.2099999999999997E-2</v>
      </c>
      <c r="Z7" s="327">
        <v>2.5000000000000001E-2</v>
      </c>
      <c r="AA7" s="176">
        <v>0.96389999999999998</v>
      </c>
      <c r="AB7" s="326">
        <v>0.2</v>
      </c>
      <c r="AC7" s="176">
        <v>0.66969999999999996</v>
      </c>
      <c r="AD7" s="327">
        <v>2.5000000000000001E-2</v>
      </c>
      <c r="AE7" s="176">
        <v>7.3300000000000004E-2</v>
      </c>
      <c r="AF7" s="328">
        <v>0.1</v>
      </c>
      <c r="AG7" s="176">
        <v>0.33289999999999997</v>
      </c>
      <c r="AH7" s="327">
        <v>2.5000000000000001E-2</v>
      </c>
      <c r="AI7" s="176">
        <v>0.44330000000000003</v>
      </c>
      <c r="AJ7" s="328">
        <v>0.1</v>
      </c>
      <c r="AK7" s="329">
        <v>0.15</v>
      </c>
      <c r="AL7" s="316"/>
      <c r="AM7" s="317">
        <f>SUM(U7:AL8)</f>
        <v>9.5553000000000026</v>
      </c>
      <c r="AN7" s="320"/>
      <c r="AP7" s="163">
        <v>8.9499999999999993</v>
      </c>
      <c r="AQ7" s="351">
        <f>AP7-AM7</f>
        <v>-0.60530000000000328</v>
      </c>
      <c r="AR7" s="356">
        <f>AQ7/AP7</f>
        <v>-6.763128491620149E-2</v>
      </c>
      <c r="AT7" s="170"/>
    </row>
    <row r="8" spans="1:46" ht="15.75" thickBot="1" x14ac:dyDescent="0.3">
      <c r="A8" s="157" t="s">
        <v>238</v>
      </c>
      <c r="B8" s="204"/>
      <c r="C8" s="159"/>
      <c r="D8" s="208"/>
      <c r="E8" s="226" t="s">
        <v>142</v>
      </c>
      <c r="F8" s="212" t="s">
        <v>141</v>
      </c>
      <c r="G8" s="212" t="s">
        <v>253</v>
      </c>
      <c r="H8" s="311" t="s">
        <v>179</v>
      </c>
      <c r="M8" s="431" t="s">
        <v>188</v>
      </c>
      <c r="N8" s="432"/>
      <c r="Q8" s="330"/>
      <c r="R8" s="331" t="s">
        <v>257</v>
      </c>
      <c r="S8" s="332"/>
      <c r="T8" s="333"/>
      <c r="U8" s="334">
        <v>0.53</v>
      </c>
      <c r="V8" s="336">
        <v>0.2</v>
      </c>
      <c r="W8" s="334">
        <v>0.13669999999999999</v>
      </c>
      <c r="X8" s="337">
        <v>0.1</v>
      </c>
      <c r="Y8" s="334">
        <v>7.2099999999999997E-2</v>
      </c>
      <c r="Z8" s="335">
        <v>2.5000000000000001E-2</v>
      </c>
      <c r="AA8" s="334">
        <v>0.96389999999999998</v>
      </c>
      <c r="AB8" s="336">
        <v>0.2</v>
      </c>
      <c r="AC8" s="334">
        <v>0.30590000000000001</v>
      </c>
      <c r="AD8" s="335">
        <v>2.5000000000000001E-2</v>
      </c>
      <c r="AE8" s="334">
        <v>2.4828000000000001</v>
      </c>
      <c r="AF8" s="338">
        <v>0.15</v>
      </c>
      <c r="AG8" s="334">
        <v>6.7000000000000004E-2</v>
      </c>
      <c r="AH8" s="338">
        <v>0.15</v>
      </c>
      <c r="AI8" s="334"/>
      <c r="AJ8" s="334"/>
      <c r="AK8" s="339"/>
      <c r="AL8" s="339"/>
      <c r="AM8" s="342"/>
      <c r="AN8" s="343"/>
      <c r="AP8" s="364"/>
      <c r="AQ8" s="365"/>
      <c r="AR8" s="366"/>
      <c r="AT8" s="170"/>
    </row>
    <row r="9" spans="1:46" ht="15.75" thickBot="1" x14ac:dyDescent="0.3">
      <c r="A9" s="216"/>
      <c r="B9" s="217"/>
      <c r="C9" s="197">
        <v>25</v>
      </c>
      <c r="D9" s="218" t="s">
        <v>36</v>
      </c>
      <c r="E9" s="199">
        <f>E13</f>
        <v>3.2214747704246807</v>
      </c>
      <c r="F9" s="200">
        <f>F13</f>
        <v>2.6602699081698731</v>
      </c>
      <c r="G9" s="200"/>
      <c r="H9" s="201">
        <f>SUM(E9:G9)*(1+M9)</f>
        <v>6.4699191464540098</v>
      </c>
      <c r="M9" s="228" t="s">
        <v>212</v>
      </c>
      <c r="N9" s="229" t="s">
        <v>190</v>
      </c>
      <c r="Q9" s="171"/>
      <c r="R9" s="206" t="s">
        <v>258</v>
      </c>
      <c r="S9" s="173"/>
      <c r="T9" s="210"/>
      <c r="U9" s="176">
        <v>0.53</v>
      </c>
      <c r="V9" s="326">
        <v>0.2</v>
      </c>
      <c r="W9" s="176">
        <v>0.13669999999999999</v>
      </c>
      <c r="X9" s="328">
        <v>0.1</v>
      </c>
      <c r="Y9" s="176">
        <v>7.2099999999999997E-2</v>
      </c>
      <c r="Z9" s="327">
        <v>2.5000000000000001E-2</v>
      </c>
      <c r="AA9" s="176">
        <v>0.96389999999999998</v>
      </c>
      <c r="AB9" s="326">
        <v>0.2</v>
      </c>
      <c r="AC9" s="176">
        <v>0.66969999999999996</v>
      </c>
      <c r="AD9" s="327">
        <v>2.5000000000000001E-2</v>
      </c>
      <c r="AE9" s="176">
        <v>7.3300000000000004E-2</v>
      </c>
      <c r="AF9" s="328">
        <v>0.1</v>
      </c>
      <c r="AG9" s="176">
        <v>0.33289999999999997</v>
      </c>
      <c r="AH9" s="327">
        <v>2.5000000000000001E-2</v>
      </c>
      <c r="AI9" s="176">
        <v>0.44330000000000003</v>
      </c>
      <c r="AJ9" s="328">
        <v>0.1</v>
      </c>
      <c r="AK9" s="329">
        <v>0.15</v>
      </c>
      <c r="AL9" s="316"/>
      <c r="AM9" s="318">
        <f>SUM(U9:AL10)</f>
        <v>9.5553000000000026</v>
      </c>
      <c r="AN9" s="321"/>
      <c r="AP9" s="163">
        <v>8.9499999999999993</v>
      </c>
      <c r="AQ9" s="165">
        <f>AP9-AM9</f>
        <v>-0.60530000000000328</v>
      </c>
      <c r="AR9" s="169">
        <f>AQ9/AP9</f>
        <v>-6.763128491620149E-2</v>
      </c>
      <c r="AT9" s="170"/>
    </row>
    <row r="10" spans="1:46" ht="15.75" thickBot="1" x14ac:dyDescent="0.3">
      <c r="Q10" s="330"/>
      <c r="R10" s="331" t="s">
        <v>259</v>
      </c>
      <c r="S10" s="332"/>
      <c r="T10" s="333"/>
      <c r="U10" s="334">
        <v>0.53</v>
      </c>
      <c r="V10" s="336">
        <v>0.2</v>
      </c>
      <c r="W10" s="334">
        <v>0.13669999999999999</v>
      </c>
      <c r="X10" s="337">
        <v>0.1</v>
      </c>
      <c r="Y10" s="334">
        <v>7.2099999999999997E-2</v>
      </c>
      <c r="Z10" s="335">
        <v>2.5000000000000001E-2</v>
      </c>
      <c r="AA10" s="334">
        <v>0.96389999999999998</v>
      </c>
      <c r="AB10" s="336">
        <v>0.2</v>
      </c>
      <c r="AC10" s="334">
        <v>0.30590000000000001</v>
      </c>
      <c r="AD10" s="335">
        <v>2.5000000000000001E-2</v>
      </c>
      <c r="AE10" s="334">
        <v>2.4828000000000001</v>
      </c>
      <c r="AF10" s="338">
        <v>0.15</v>
      </c>
      <c r="AG10" s="334">
        <v>6.7000000000000004E-2</v>
      </c>
      <c r="AH10" s="338">
        <v>0.15</v>
      </c>
      <c r="AI10" s="334"/>
      <c r="AJ10" s="334"/>
      <c r="AK10" s="339"/>
      <c r="AL10" s="339"/>
      <c r="AM10" s="340"/>
      <c r="AN10" s="341"/>
      <c r="AP10" s="357"/>
      <c r="AQ10" s="358"/>
      <c r="AR10" s="359"/>
      <c r="AT10" s="170"/>
    </row>
    <row r="11" spans="1:46" ht="16.5" thickTop="1" thickBot="1" x14ac:dyDescent="0.3">
      <c r="A11" s="157" t="s">
        <v>219</v>
      </c>
      <c r="B11" s="204"/>
      <c r="C11" s="159"/>
      <c r="D11" s="208"/>
      <c r="E11" s="212" t="s">
        <v>142</v>
      </c>
      <c r="F11" s="212" t="s">
        <v>141</v>
      </c>
      <c r="G11" s="212" t="s">
        <v>253</v>
      </c>
      <c r="H11" s="294" t="s">
        <v>179</v>
      </c>
      <c r="J11" s="214" t="s">
        <v>41</v>
      </c>
      <c r="K11" s="433" t="s">
        <v>180</v>
      </c>
      <c r="L11" s="434"/>
      <c r="N11" s="219" t="s">
        <v>188</v>
      </c>
      <c r="Q11" s="171"/>
      <c r="R11" s="206" t="s">
        <v>260</v>
      </c>
      <c r="S11" s="173"/>
      <c r="T11" s="210"/>
      <c r="U11" s="176">
        <v>2.4828000000000001</v>
      </c>
      <c r="V11" s="327">
        <v>2.5000000000000001E-2</v>
      </c>
      <c r="W11" s="176">
        <v>0.91830000000000001</v>
      </c>
      <c r="X11" s="326">
        <v>0.2</v>
      </c>
      <c r="Y11" s="176">
        <v>0.13669999999999999</v>
      </c>
      <c r="Z11" s="328">
        <v>0.1</v>
      </c>
      <c r="AA11" s="176"/>
      <c r="AB11" s="176"/>
      <c r="AC11" s="176"/>
      <c r="AD11" s="176"/>
      <c r="AE11" s="176"/>
      <c r="AF11" s="176"/>
      <c r="AG11" s="176"/>
      <c r="AH11" s="176"/>
      <c r="AI11" s="176"/>
      <c r="AJ11" s="176"/>
      <c r="AK11" s="176"/>
      <c r="AL11" s="316"/>
      <c r="AM11" s="317">
        <f>SUM(U11:AL12)</f>
        <v>8.6696000000000009</v>
      </c>
      <c r="AN11" s="320"/>
      <c r="AP11" s="163">
        <v>9.2799999999999994</v>
      </c>
      <c r="AQ11" s="165">
        <f>AP11-AM11</f>
        <v>0.6103999999999985</v>
      </c>
      <c r="AR11" s="169">
        <f>AQ11/AP11</f>
        <v>6.5775862068965366E-2</v>
      </c>
      <c r="AT11" s="170"/>
    </row>
    <row r="12" spans="1:46" ht="15.75" thickBot="1" x14ac:dyDescent="0.3">
      <c r="A12" s="160" t="s">
        <v>236</v>
      </c>
      <c r="B12" s="205" t="s">
        <v>221</v>
      </c>
      <c r="C12" s="162" t="s">
        <v>222</v>
      </c>
      <c r="D12" s="209" t="s">
        <v>36</v>
      </c>
      <c r="E12" s="165">
        <f>2.4574+2.4828</f>
        <v>4.9401999999999999</v>
      </c>
      <c r="F12" s="165">
        <f>0.067+2.4828</f>
        <v>2.5498000000000003</v>
      </c>
      <c r="G12" s="165"/>
      <c r="H12" s="166">
        <f t="shared" ref="H12:H14" si="0">SUM(E12:G12)</f>
        <v>7.49</v>
      </c>
      <c r="J12" s="163">
        <v>7.64</v>
      </c>
      <c r="K12" s="165">
        <f>J12-H12</f>
        <v>0.14999999999999947</v>
      </c>
      <c r="L12" s="324">
        <f>K12/J12</f>
        <v>1.9633507853403072E-2</v>
      </c>
      <c r="N12" s="170"/>
      <c r="Q12" s="344"/>
      <c r="R12" s="345" t="s">
        <v>261</v>
      </c>
      <c r="S12" s="187"/>
      <c r="T12" s="211"/>
      <c r="U12" s="189">
        <v>2.4573999999999998</v>
      </c>
      <c r="V12" s="362">
        <v>2.5000000000000001E-2</v>
      </c>
      <c r="W12" s="189">
        <v>0.93169999999999997</v>
      </c>
      <c r="X12" s="362">
        <v>2.5000000000000001E-2</v>
      </c>
      <c r="Y12" s="189">
        <v>0.36649999999999999</v>
      </c>
      <c r="Z12" s="363">
        <v>0.1</v>
      </c>
      <c r="AA12" s="189">
        <v>0.33289999999999997</v>
      </c>
      <c r="AB12" s="362">
        <v>2.5000000000000001E-2</v>
      </c>
      <c r="AC12" s="189">
        <v>0.44330000000000003</v>
      </c>
      <c r="AD12" s="363">
        <v>0.1</v>
      </c>
      <c r="AE12" s="189"/>
      <c r="AF12" s="189"/>
      <c r="AG12" s="189"/>
      <c r="AH12" s="189"/>
      <c r="AI12" s="189"/>
      <c r="AJ12" s="189"/>
      <c r="AK12" s="189"/>
      <c r="AL12" s="346"/>
      <c r="AM12" s="360"/>
      <c r="AN12" s="361"/>
      <c r="AP12" s="367"/>
      <c r="AQ12" s="368"/>
      <c r="AR12" s="369"/>
      <c r="AT12" s="181"/>
    </row>
    <row r="13" spans="1:46" ht="15.75" thickBot="1" x14ac:dyDescent="0.3">
      <c r="A13" s="171" t="s">
        <v>235</v>
      </c>
      <c r="B13" s="206" t="s">
        <v>221</v>
      </c>
      <c r="C13" s="173" t="s">
        <v>222</v>
      </c>
      <c r="D13" s="210" t="s">
        <v>36</v>
      </c>
      <c r="E13" s="176">
        <f>0.3059+0.6697+0.0733+0.3329+0.4433+0.3665+0.9317+(0.25*PI()*0.025*5)</f>
        <v>3.2214747704246807</v>
      </c>
      <c r="F13" s="176">
        <f>0.53+0.9183+0.1367+0.0721+0.9639+(0.25*PI()*0.025*2)</f>
        <v>2.6602699081698731</v>
      </c>
      <c r="G13" s="176"/>
      <c r="H13" s="177">
        <f t="shared" si="0"/>
        <v>5.8817446785945542</v>
      </c>
      <c r="J13" s="174">
        <v>5.86</v>
      </c>
      <c r="K13" s="176">
        <f>J13-H13</f>
        <v>-2.1744678594553868E-2</v>
      </c>
      <c r="L13" s="325">
        <f>K13/J13</f>
        <v>-3.7106960058965644E-3</v>
      </c>
      <c r="N13" s="170"/>
      <c r="AP13" s="370">
        <f>AP3+AP7+AP9+AP11</f>
        <v>43.46</v>
      </c>
      <c r="AQ13" s="371">
        <f>AP13-AN3</f>
        <v>-0.35600000000000875</v>
      </c>
      <c r="AR13" s="372">
        <f>AQ13/AP13</f>
        <v>-8.1914404049702894E-3</v>
      </c>
    </row>
    <row r="14" spans="1:46" ht="15.75" thickBot="1" x14ac:dyDescent="0.3">
      <c r="A14" s="160" t="s">
        <v>220</v>
      </c>
      <c r="B14" s="205" t="s">
        <v>262</v>
      </c>
      <c r="C14" s="162" t="s">
        <v>263</v>
      </c>
      <c r="D14" s="209" t="s">
        <v>36</v>
      </c>
      <c r="E14" s="165">
        <f>0.64+0.76</f>
        <v>1.4</v>
      </c>
      <c r="F14" s="165">
        <v>0.81899999999999995</v>
      </c>
      <c r="G14" s="165">
        <f>2*(0.3183+17.8365+8.4828+1.755+0.5)</f>
        <v>57.785199999999996</v>
      </c>
      <c r="H14" s="166">
        <f t="shared" si="0"/>
        <v>60.004199999999997</v>
      </c>
      <c r="J14" s="163">
        <v>60.19</v>
      </c>
      <c r="K14" s="165">
        <f>J14-H14</f>
        <v>0.18580000000000041</v>
      </c>
      <c r="L14" s="324">
        <f>K14/J14</f>
        <v>3.0868915102176511E-3</v>
      </c>
      <c r="N14" s="170"/>
    </row>
    <row r="15" spans="1:46" ht="15.75" thickBot="1" x14ac:dyDescent="0.3">
      <c r="A15" s="157" t="s">
        <v>229</v>
      </c>
      <c r="B15" s="204"/>
      <c r="C15" s="159"/>
      <c r="D15" s="208"/>
      <c r="E15" s="212" t="s">
        <v>142</v>
      </c>
      <c r="F15" s="212" t="s">
        <v>141</v>
      </c>
      <c r="G15" s="212"/>
      <c r="H15" s="294" t="s">
        <v>179</v>
      </c>
      <c r="J15" s="214" t="s">
        <v>41</v>
      </c>
      <c r="K15" s="433" t="s">
        <v>180</v>
      </c>
      <c r="L15" s="434"/>
      <c r="N15" s="219" t="s">
        <v>188</v>
      </c>
    </row>
    <row r="16" spans="1:46" x14ac:dyDescent="0.25">
      <c r="A16" s="160" t="s">
        <v>156</v>
      </c>
      <c r="B16" s="205" t="s">
        <v>224</v>
      </c>
      <c r="C16" s="162" t="s">
        <v>225</v>
      </c>
      <c r="D16" s="209" t="s">
        <v>1</v>
      </c>
      <c r="E16" s="168">
        <v>2</v>
      </c>
      <c r="F16" s="168">
        <v>2</v>
      </c>
      <c r="G16" s="168"/>
      <c r="H16" s="183">
        <f t="shared" ref="H16:H17" si="1">SUM(E16:G16)</f>
        <v>4</v>
      </c>
      <c r="J16" s="167">
        <v>4</v>
      </c>
      <c r="K16" s="168">
        <f t="shared" ref="K16:K21" si="2">J16-H16</f>
        <v>0</v>
      </c>
      <c r="L16" s="324">
        <f t="shared" ref="L16:L21" si="3">K16/J16</f>
        <v>0</v>
      </c>
      <c r="N16" s="170"/>
    </row>
    <row r="17" spans="1:14" x14ac:dyDescent="0.25">
      <c r="A17" s="171" t="s">
        <v>223</v>
      </c>
      <c r="B17" s="206" t="s">
        <v>226</v>
      </c>
      <c r="C17" s="173" t="s">
        <v>227</v>
      </c>
      <c r="D17" s="210" t="s">
        <v>1</v>
      </c>
      <c r="E17" s="179">
        <v>2</v>
      </c>
      <c r="F17" s="179">
        <v>1</v>
      </c>
      <c r="G17" s="179"/>
      <c r="H17" s="185">
        <f t="shared" si="1"/>
        <v>3</v>
      </c>
      <c r="J17" s="178">
        <v>3</v>
      </c>
      <c r="K17" s="179">
        <f t="shared" si="2"/>
        <v>0</v>
      </c>
      <c r="L17" s="325">
        <f t="shared" si="3"/>
        <v>0</v>
      </c>
      <c r="N17" s="170"/>
    </row>
    <row r="18" spans="1:14" x14ac:dyDescent="0.25">
      <c r="A18" s="160" t="s">
        <v>228</v>
      </c>
      <c r="B18" s="205" t="s">
        <v>243</v>
      </c>
      <c r="C18" s="162" t="s">
        <v>154</v>
      </c>
      <c r="D18" s="209" t="s">
        <v>1</v>
      </c>
      <c r="E18" s="168">
        <v>1</v>
      </c>
      <c r="F18" s="168">
        <v>2</v>
      </c>
      <c r="G18" s="168"/>
      <c r="H18" s="183">
        <f>SUM(E18:G18)</f>
        <v>3</v>
      </c>
      <c r="J18" s="167">
        <v>3</v>
      </c>
      <c r="K18" s="168">
        <f t="shared" ref="K18" si="4">J18-H18</f>
        <v>0</v>
      </c>
      <c r="L18" s="324">
        <f t="shared" ref="L18" si="5">K18/J18</f>
        <v>0</v>
      </c>
      <c r="N18" s="170"/>
    </row>
    <row r="19" spans="1:14" x14ac:dyDescent="0.25">
      <c r="A19" s="171" t="s">
        <v>158</v>
      </c>
      <c r="B19" s="206" t="s">
        <v>230</v>
      </c>
      <c r="C19" s="173" t="s">
        <v>231</v>
      </c>
      <c r="D19" s="210" t="s">
        <v>1</v>
      </c>
      <c r="E19" s="179">
        <v>1</v>
      </c>
      <c r="F19" s="179">
        <v>1</v>
      </c>
      <c r="G19" s="179"/>
      <c r="H19" s="185">
        <f t="shared" ref="H19:H27" si="6">SUM(E19:G19)</f>
        <v>2</v>
      </c>
      <c r="J19" s="178">
        <v>2</v>
      </c>
      <c r="K19" s="179">
        <f t="shared" si="2"/>
        <v>0</v>
      </c>
      <c r="L19" s="325">
        <f t="shared" si="3"/>
        <v>0</v>
      </c>
      <c r="N19" s="170"/>
    </row>
    <row r="20" spans="1:14" x14ac:dyDescent="0.25">
      <c r="A20" s="160" t="s">
        <v>159</v>
      </c>
      <c r="B20" s="205" t="s">
        <v>232</v>
      </c>
      <c r="C20" s="162" t="s">
        <v>233</v>
      </c>
      <c r="D20" s="209" t="s">
        <v>1</v>
      </c>
      <c r="E20" s="168">
        <v>2</v>
      </c>
      <c r="F20" s="168">
        <v>1</v>
      </c>
      <c r="G20" s="168"/>
      <c r="H20" s="183">
        <f t="shared" si="6"/>
        <v>3</v>
      </c>
      <c r="J20" s="167">
        <v>3</v>
      </c>
      <c r="K20" s="168">
        <f t="shared" si="2"/>
        <v>0</v>
      </c>
      <c r="L20" s="324">
        <f t="shared" si="3"/>
        <v>0</v>
      </c>
      <c r="N20" s="170"/>
    </row>
    <row r="21" spans="1:14" ht="15.75" thickBot="1" x14ac:dyDescent="0.3">
      <c r="A21" s="171" t="s">
        <v>160</v>
      </c>
      <c r="B21" s="206" t="s">
        <v>234</v>
      </c>
      <c r="C21" s="173" t="s">
        <v>233</v>
      </c>
      <c r="D21" s="210" t="s">
        <v>1</v>
      </c>
      <c r="E21" s="179">
        <v>1</v>
      </c>
      <c r="F21" s="179">
        <v>1</v>
      </c>
      <c r="G21" s="179"/>
      <c r="H21" s="185">
        <f t="shared" si="6"/>
        <v>2</v>
      </c>
      <c r="J21" s="178">
        <v>2</v>
      </c>
      <c r="K21" s="179">
        <f t="shared" si="2"/>
        <v>0</v>
      </c>
      <c r="L21" s="325">
        <f t="shared" si="3"/>
        <v>0</v>
      </c>
      <c r="N21" s="170"/>
    </row>
    <row r="22" spans="1:14" ht="15.75" thickBot="1" x14ac:dyDescent="0.3">
      <c r="A22" s="157" t="s">
        <v>215</v>
      </c>
      <c r="B22" s="204"/>
      <c r="C22" s="159"/>
      <c r="D22" s="208"/>
      <c r="E22" s="212" t="s">
        <v>142</v>
      </c>
      <c r="F22" s="212" t="s">
        <v>141</v>
      </c>
      <c r="G22" s="212"/>
      <c r="H22" s="294" t="s">
        <v>179</v>
      </c>
      <c r="J22" s="214" t="s">
        <v>41</v>
      </c>
      <c r="K22" s="433" t="s">
        <v>180</v>
      </c>
      <c r="L22" s="434"/>
      <c r="N22" s="219" t="s">
        <v>188</v>
      </c>
    </row>
    <row r="23" spans="1:14" ht="15.75" thickBot="1" x14ac:dyDescent="0.3">
      <c r="A23" s="216" t="s">
        <v>217</v>
      </c>
      <c r="B23" s="217" t="s">
        <v>216</v>
      </c>
      <c r="C23" s="197" t="s">
        <v>218</v>
      </c>
      <c r="D23" s="218" t="s">
        <v>1</v>
      </c>
      <c r="E23" s="231">
        <v>1</v>
      </c>
      <c r="F23" s="231">
        <v>1</v>
      </c>
      <c r="G23" s="231"/>
      <c r="H23" s="232">
        <f t="shared" si="6"/>
        <v>2</v>
      </c>
      <c r="J23" s="230">
        <v>2</v>
      </c>
      <c r="K23" s="231">
        <f>J23-H23</f>
        <v>0</v>
      </c>
      <c r="L23" s="215">
        <f>K23/J23</f>
        <v>0</v>
      </c>
      <c r="N23" s="181"/>
    </row>
    <row r="24" spans="1:14" ht="15.75" thickBot="1" x14ac:dyDescent="0.3">
      <c r="A24" s="157" t="s">
        <v>244</v>
      </c>
      <c r="B24" s="204"/>
      <c r="C24" s="159"/>
      <c r="D24" s="208"/>
      <c r="E24" s="212" t="s">
        <v>142</v>
      </c>
      <c r="F24" s="212" t="s">
        <v>141</v>
      </c>
      <c r="G24" s="212"/>
      <c r="H24" s="314" t="s">
        <v>179</v>
      </c>
      <c r="J24" s="214" t="s">
        <v>41</v>
      </c>
      <c r="K24" s="433" t="s">
        <v>180</v>
      </c>
      <c r="L24" s="434"/>
      <c r="N24" s="219" t="s">
        <v>188</v>
      </c>
    </row>
    <row r="25" spans="1:14" x14ac:dyDescent="0.25">
      <c r="A25" s="160" t="s">
        <v>245</v>
      </c>
      <c r="B25" s="205" t="s">
        <v>249</v>
      </c>
      <c r="C25" s="162"/>
      <c r="D25" s="209" t="s">
        <v>1</v>
      </c>
      <c r="E25" s="168">
        <v>1</v>
      </c>
      <c r="F25" s="168"/>
      <c r="G25" s="168"/>
      <c r="H25" s="183">
        <f t="shared" si="6"/>
        <v>1</v>
      </c>
      <c r="J25" s="167">
        <v>1</v>
      </c>
      <c r="K25" s="168">
        <f t="shared" ref="K25:K27" si="7">J25-H25</f>
        <v>0</v>
      </c>
      <c r="L25" s="322">
        <f t="shared" ref="L25:L27" si="8">K25/J25</f>
        <v>0</v>
      </c>
      <c r="N25" s="170"/>
    </row>
    <row r="26" spans="1:14" x14ac:dyDescent="0.25">
      <c r="A26" s="171" t="s">
        <v>246</v>
      </c>
      <c r="B26" s="206" t="s">
        <v>247</v>
      </c>
      <c r="C26" s="173" t="s">
        <v>248</v>
      </c>
      <c r="D26" s="210" t="s">
        <v>1</v>
      </c>
      <c r="E26" s="179">
        <v>1</v>
      </c>
      <c r="F26" s="179"/>
      <c r="G26" s="179"/>
      <c r="H26" s="185">
        <f t="shared" si="6"/>
        <v>1</v>
      </c>
      <c r="J26" s="178">
        <v>1</v>
      </c>
      <c r="K26" s="179">
        <f t="shared" si="7"/>
        <v>0</v>
      </c>
      <c r="L26" s="323">
        <f t="shared" si="8"/>
        <v>0</v>
      </c>
      <c r="N26" s="170"/>
    </row>
    <row r="27" spans="1:14" ht="15.75" thickBot="1" x14ac:dyDescent="0.3">
      <c r="A27" s="216" t="s">
        <v>250</v>
      </c>
      <c r="B27" s="217" t="s">
        <v>251</v>
      </c>
      <c r="C27" s="197" t="s">
        <v>252</v>
      </c>
      <c r="D27" s="218" t="s">
        <v>36</v>
      </c>
      <c r="E27" s="200">
        <v>2.87</v>
      </c>
      <c r="F27" s="231"/>
      <c r="G27" s="231"/>
      <c r="H27" s="201">
        <f t="shared" si="6"/>
        <v>2.87</v>
      </c>
      <c r="J27" s="198">
        <v>2.87</v>
      </c>
      <c r="K27" s="200">
        <f t="shared" si="7"/>
        <v>0</v>
      </c>
      <c r="L27" s="215">
        <f t="shared" si="8"/>
        <v>0</v>
      </c>
      <c r="N27" s="181"/>
    </row>
    <row r="28" spans="1:14" x14ac:dyDescent="0.25">
      <c r="B28"/>
    </row>
    <row r="29" spans="1:14" x14ac:dyDescent="0.25">
      <c r="A29"/>
      <c r="B29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A43"/>
      <c r="B43"/>
    </row>
    <row r="44" spans="1:2" x14ac:dyDescent="0.25">
      <c r="A44"/>
      <c r="B44"/>
    </row>
    <row r="45" spans="1:2" x14ac:dyDescent="0.25">
      <c r="A45"/>
      <c r="B45"/>
    </row>
    <row r="46" spans="1:2" x14ac:dyDescent="0.25">
      <c r="A46"/>
      <c r="B46"/>
    </row>
    <row r="47" spans="1:2" x14ac:dyDescent="0.25">
      <c r="A47"/>
      <c r="B47"/>
    </row>
    <row r="48" spans="1:2" x14ac:dyDescent="0.25">
      <c r="A48"/>
      <c r="B48"/>
    </row>
    <row r="49" spans="1:2" x14ac:dyDescent="0.25">
      <c r="A49"/>
      <c r="B49"/>
    </row>
    <row r="50" spans="1:2" x14ac:dyDescent="0.25">
      <c r="A50"/>
      <c r="B50"/>
    </row>
    <row r="51" spans="1:2" x14ac:dyDescent="0.25">
      <c r="B51"/>
    </row>
    <row r="52" spans="1:2" x14ac:dyDescent="0.25">
      <c r="B52"/>
    </row>
    <row r="53" spans="1:2" x14ac:dyDescent="0.25">
      <c r="B53" s="6"/>
    </row>
    <row r="54" spans="1:2" x14ac:dyDescent="0.25">
      <c r="B54" s="6"/>
    </row>
    <row r="55" spans="1:2" x14ac:dyDescent="0.25">
      <c r="B55" s="6"/>
    </row>
    <row r="56" spans="1:2" x14ac:dyDescent="0.25">
      <c r="B56" s="6"/>
    </row>
    <row r="57" spans="1:2" x14ac:dyDescent="0.25">
      <c r="B57" s="6"/>
    </row>
    <row r="58" spans="1:2" x14ac:dyDescent="0.25">
      <c r="B58" s="6"/>
    </row>
    <row r="59" spans="1:2" x14ac:dyDescent="0.25">
      <c r="B59" s="6"/>
    </row>
    <row r="60" spans="1:2" x14ac:dyDescent="0.25">
      <c r="B60" s="6"/>
    </row>
    <row r="61" spans="1:2" x14ac:dyDescent="0.25">
      <c r="B61" s="6"/>
    </row>
  </sheetData>
  <mergeCells count="8">
    <mergeCell ref="K24:L24"/>
    <mergeCell ref="AQ2:AR2"/>
    <mergeCell ref="K22:L22"/>
    <mergeCell ref="M8:N8"/>
    <mergeCell ref="K15:L15"/>
    <mergeCell ref="M2:N2"/>
    <mergeCell ref="M5:N5"/>
    <mergeCell ref="K11:L11"/>
  </mergeCells>
  <conditionalFormatting sqref="K16:L17 K19:L19 K12:L14 AQ3:AR3 AQ7:AR7 AQ11:AR11 AQ9:AR9">
    <cfRule type="cellIs" dxfId="7" priority="28" operator="equal">
      <formula>0</formula>
    </cfRule>
  </conditionalFormatting>
  <conditionalFormatting sqref="K23:L23">
    <cfRule type="cellIs" dxfId="6" priority="26" operator="equal">
      <formula>0</formula>
    </cfRule>
  </conditionalFormatting>
  <conditionalFormatting sqref="K20:L21">
    <cfRule type="cellIs" dxfId="5" priority="19" operator="equal">
      <formula>0</formula>
    </cfRule>
  </conditionalFormatting>
  <conditionalFormatting sqref="K27:L27">
    <cfRule type="cellIs" dxfId="4" priority="5" operator="equal">
      <formula>0</formula>
    </cfRule>
  </conditionalFormatting>
  <conditionalFormatting sqref="K25:L26">
    <cfRule type="cellIs" dxfId="3" priority="6" operator="equal">
      <formula>0</formula>
    </cfRule>
  </conditionalFormatting>
  <conditionalFormatting sqref="K18:L18">
    <cfRule type="cellIs" dxfId="2" priority="4" operator="equal">
      <formula>0</formula>
    </cfRule>
  </conditionalFormatting>
  <conditionalFormatting sqref="K20:L20">
    <cfRule type="cellIs" dxfId="1" priority="2" operator="equal">
      <formula>0</formula>
    </cfRule>
  </conditionalFormatting>
  <conditionalFormatting sqref="K19:L19">
    <cfRule type="cellIs" dxfId="0" priority="1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ARQ</vt:lpstr>
      <vt:lpstr>OUTROS</vt:lpstr>
      <vt:lpstr>AF</vt:lpstr>
      <vt:lpstr>ESG</vt:lpstr>
      <vt:lpstr>ELET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2023-02-27T17:52:24Z</dcterms:modified>
</cp:coreProperties>
</file>